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50" yWindow="90" windowWidth="14850" windowHeight="12735"/>
  </bookViews>
  <sheets>
    <sheet name="декабрь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декабрь!$B:$B,декабрь!$6:$9</definedName>
    <definedName name="_xlnm.Print_Area" localSheetId="0">декабрь!$A$1:$Y$133</definedName>
  </definedNames>
  <calcPr calcId="145621"/>
</workbook>
</file>

<file path=xl/calcChain.xml><?xml version="1.0" encoding="utf-8"?>
<calcChain xmlns="http://schemas.openxmlformats.org/spreadsheetml/2006/main">
  <c r="T21" i="2" l="1"/>
  <c r="Q68" i="2" l="1"/>
  <c r="S142" i="2" l="1"/>
  <c r="S125" i="2"/>
  <c r="T126" i="2"/>
  <c r="T124" i="2"/>
  <c r="T123" i="2"/>
  <c r="S123" i="2"/>
  <c r="T122" i="2"/>
  <c r="T117" i="2"/>
  <c r="T120" i="2"/>
  <c r="S120" i="2"/>
  <c r="T116" i="2"/>
  <c r="S115" i="2"/>
  <c r="T100" i="2"/>
  <c r="T92" i="2"/>
  <c r="T91" i="2"/>
  <c r="S91" i="2"/>
  <c r="S90" i="2"/>
  <c r="T88" i="2"/>
  <c r="T111" i="2"/>
  <c r="T110" i="2"/>
  <c r="S127" i="2"/>
  <c r="T42" i="2"/>
  <c r="T39" i="2"/>
  <c r="T35" i="2"/>
  <c r="T33" i="2"/>
  <c r="S33" i="2"/>
  <c r="S30" i="2"/>
  <c r="S25" i="2"/>
  <c r="T14" i="2"/>
  <c r="T10" i="2"/>
  <c r="S10" i="2"/>
  <c r="E125" i="2"/>
  <c r="E123" i="2"/>
  <c r="E122" i="2"/>
  <c r="E117" i="2"/>
  <c r="E120" i="2"/>
  <c r="E119" i="2"/>
  <c r="E116" i="2"/>
  <c r="E115" i="2"/>
  <c r="E113" i="2"/>
  <c r="E100" i="2"/>
  <c r="E93" i="2"/>
  <c r="E92" i="2"/>
  <c r="E91" i="2"/>
  <c r="E90" i="2"/>
  <c r="E89" i="2"/>
  <c r="E88" i="2"/>
  <c r="E111" i="2"/>
  <c r="E109" i="2"/>
  <c r="E108" i="2"/>
  <c r="E55" i="2"/>
  <c r="E52" i="2"/>
  <c r="E38" i="2"/>
  <c r="E35" i="2"/>
  <c r="E34" i="2"/>
  <c r="E33" i="2"/>
  <c r="E32" i="2"/>
  <c r="E31" i="2"/>
  <c r="E30" i="2"/>
  <c r="E29" i="2"/>
  <c r="E28" i="2"/>
  <c r="E20" i="2"/>
  <c r="E26" i="2"/>
  <c r="E25" i="2"/>
  <c r="E24" i="2"/>
  <c r="E23" i="2"/>
  <c r="E21" i="2"/>
  <c r="E14" i="2"/>
  <c r="E11" i="2"/>
  <c r="E10" i="2"/>
  <c r="P12" i="2" l="1"/>
  <c r="O126" i="2"/>
  <c r="N126" i="2"/>
  <c r="O124" i="2"/>
  <c r="N124" i="2"/>
  <c r="P124" i="2"/>
  <c r="O123" i="2"/>
  <c r="N123" i="2"/>
  <c r="O122" i="2"/>
  <c r="O117" i="2"/>
  <c r="N117" i="2"/>
  <c r="Q117" i="2"/>
  <c r="P120" i="2"/>
  <c r="O119" i="2"/>
  <c r="O115" i="2"/>
  <c r="N115" i="2"/>
  <c r="P115" i="2"/>
  <c r="P114" i="2"/>
  <c r="O113" i="2"/>
  <c r="Q113" i="2"/>
  <c r="P113" i="2"/>
  <c r="O101" i="2"/>
  <c r="N101" i="2"/>
  <c r="P101" i="2"/>
  <c r="O100" i="2"/>
  <c r="N100" i="2"/>
  <c r="P100" i="2"/>
  <c r="P98" i="2"/>
  <c r="P97" i="2"/>
  <c r="N96" i="2"/>
  <c r="Q95" i="2"/>
  <c r="O94" i="2"/>
  <c r="Q94" i="2"/>
  <c r="Q92" i="2"/>
  <c r="P92" i="2"/>
  <c r="Q90" i="2"/>
  <c r="N90" i="2"/>
  <c r="N89" i="2"/>
  <c r="U89" i="2"/>
  <c r="N88" i="2"/>
  <c r="O107" i="2"/>
  <c r="O106" i="2"/>
  <c r="N111" i="2"/>
  <c r="P111" i="2"/>
  <c r="O109" i="2"/>
  <c r="N109" i="2"/>
  <c r="P109" i="2"/>
  <c r="P108" i="2"/>
  <c r="Q83" i="2"/>
  <c r="P83" i="2"/>
  <c r="Q73" i="2"/>
  <c r="P73" i="2"/>
  <c r="P58" i="2"/>
  <c r="Q75" i="2"/>
  <c r="P67" i="2"/>
  <c r="P77" i="2"/>
  <c r="Q71" i="2"/>
  <c r="Q63" i="2"/>
  <c r="Q65" i="2"/>
  <c r="Q57" i="2"/>
  <c r="P57" i="2"/>
  <c r="P53" i="2"/>
  <c r="U52" i="2"/>
  <c r="O51" i="2"/>
  <c r="P50" i="2"/>
  <c r="O49" i="2"/>
  <c r="O48" i="2"/>
  <c r="O47" i="2"/>
  <c r="P45" i="2"/>
  <c r="N43" i="2"/>
  <c r="P41" i="2"/>
  <c r="O40" i="2"/>
  <c r="N39" i="2"/>
  <c r="Q38" i="2"/>
  <c r="N38" i="2"/>
  <c r="N37" i="2"/>
  <c r="P37" i="2"/>
  <c r="N36" i="2"/>
  <c r="P34" i="2"/>
  <c r="P33" i="2"/>
  <c r="O32" i="2"/>
  <c r="O31" i="2"/>
  <c r="Q31" i="2"/>
  <c r="Q30" i="2"/>
  <c r="P30" i="2"/>
  <c r="Q29" i="2"/>
  <c r="P29" i="2"/>
  <c r="Q23" i="2"/>
  <c r="P23" i="2"/>
  <c r="P25" i="2"/>
  <c r="U27" i="2"/>
  <c r="N22" i="2"/>
  <c r="Q19" i="2"/>
  <c r="Q21" i="2"/>
  <c r="Q14" i="2"/>
  <c r="P18" i="2"/>
  <c r="P16" i="2"/>
  <c r="Q15" i="2"/>
  <c r="P15" i="2"/>
  <c r="U10" i="2"/>
  <c r="H22" i="2" l="1"/>
  <c r="R90" i="2"/>
  <c r="Q12" i="2"/>
  <c r="H113" i="2"/>
  <c r="G113" i="2"/>
  <c r="M131" i="2"/>
  <c r="M136" i="2" s="1"/>
  <c r="X131" i="2"/>
  <c r="X133" i="2"/>
  <c r="W131" i="2"/>
  <c r="W133" i="2" s="1"/>
  <c r="U131" i="2"/>
  <c r="U133" i="2" s="1"/>
  <c r="T131" i="2"/>
  <c r="S131" i="2"/>
  <c r="S133" i="2" s="1"/>
  <c r="O131" i="2"/>
  <c r="O133" i="2" s="1"/>
  <c r="L131" i="2"/>
  <c r="L133" i="2" s="1"/>
  <c r="K131" i="2"/>
  <c r="K133" i="2"/>
  <c r="J131" i="2"/>
  <c r="J133" i="2" s="1"/>
  <c r="I131" i="2"/>
  <c r="I133" i="2"/>
  <c r="F131" i="2"/>
  <c r="F133" i="2" s="1"/>
  <c r="E131" i="2"/>
  <c r="E133" i="2" s="1"/>
  <c r="V130" i="2"/>
  <c r="R130" i="2"/>
  <c r="Y130" i="2"/>
  <c r="G130" i="2"/>
  <c r="D130" i="2"/>
  <c r="V129" i="2"/>
  <c r="R129" i="2"/>
  <c r="Y129" i="2" s="1"/>
  <c r="G129" i="2"/>
  <c r="D129" i="2"/>
  <c r="V128" i="2"/>
  <c r="R128" i="2"/>
  <c r="G128" i="2"/>
  <c r="D128" i="2"/>
  <c r="Y128" i="2"/>
  <c r="V127" i="2"/>
  <c r="R127" i="2"/>
  <c r="G127" i="2"/>
  <c r="Y127" i="2"/>
  <c r="D127" i="2"/>
  <c r="V126" i="2"/>
  <c r="R126" i="2"/>
  <c r="H126" i="2"/>
  <c r="G126" i="2" s="1"/>
  <c r="Y126" i="2" s="1"/>
  <c r="D126" i="2"/>
  <c r="V125" i="2"/>
  <c r="R125" i="2"/>
  <c r="H125" i="2"/>
  <c r="G125" i="2" s="1"/>
  <c r="D125" i="2"/>
  <c r="V124" i="2"/>
  <c r="R124" i="2"/>
  <c r="H124" i="2"/>
  <c r="G124" i="2"/>
  <c r="D124" i="2"/>
  <c r="V123" i="2"/>
  <c r="R123" i="2"/>
  <c r="H123" i="2"/>
  <c r="G123" i="2" s="1"/>
  <c r="D123" i="2"/>
  <c r="V122" i="2"/>
  <c r="R122" i="2"/>
  <c r="H122" i="2"/>
  <c r="G122" i="2" s="1"/>
  <c r="D122" i="2"/>
  <c r="V121" i="2"/>
  <c r="Y121" i="2" s="1"/>
  <c r="R121" i="2"/>
  <c r="H121" i="2"/>
  <c r="G121" i="2"/>
  <c r="D121" i="2"/>
  <c r="V120" i="2"/>
  <c r="R120" i="2"/>
  <c r="H120" i="2"/>
  <c r="G120" i="2" s="1"/>
  <c r="D120" i="2"/>
  <c r="V119" i="2"/>
  <c r="R119" i="2"/>
  <c r="H119" i="2"/>
  <c r="G119" i="2" s="1"/>
  <c r="D119" i="2"/>
  <c r="V118" i="2"/>
  <c r="R118" i="2"/>
  <c r="H118" i="2"/>
  <c r="G118" i="2"/>
  <c r="Y118" i="2"/>
  <c r="D118" i="2"/>
  <c r="V117" i="2"/>
  <c r="R117" i="2"/>
  <c r="D117" i="2"/>
  <c r="V116" i="2"/>
  <c r="R116" i="2"/>
  <c r="H116" i="2"/>
  <c r="G116" i="2"/>
  <c r="Y116" i="2" s="1"/>
  <c r="D116" i="2"/>
  <c r="V115" i="2"/>
  <c r="R115" i="2"/>
  <c r="H115" i="2"/>
  <c r="G115" i="2" s="1"/>
  <c r="D115" i="2"/>
  <c r="V114" i="2"/>
  <c r="R114" i="2"/>
  <c r="G114" i="2"/>
  <c r="D114" i="2"/>
  <c r="V113" i="2"/>
  <c r="R113" i="2"/>
  <c r="D113" i="2"/>
  <c r="V112" i="2"/>
  <c r="Y112" i="2" s="1"/>
  <c r="R112" i="2"/>
  <c r="H112" i="2"/>
  <c r="G112" i="2" s="1"/>
  <c r="D112" i="2"/>
  <c r="V111" i="2"/>
  <c r="R111" i="2"/>
  <c r="D111" i="2"/>
  <c r="V110" i="2"/>
  <c r="R110" i="2"/>
  <c r="Y110" i="2" s="1"/>
  <c r="H110" i="2"/>
  <c r="G110" i="2" s="1"/>
  <c r="D110" i="2"/>
  <c r="V109" i="2"/>
  <c r="R109" i="2"/>
  <c r="D109" i="2"/>
  <c r="V108" i="2"/>
  <c r="R108" i="2"/>
  <c r="H108" i="2"/>
  <c r="G108" i="2"/>
  <c r="D108" i="2"/>
  <c r="V107" i="2"/>
  <c r="Y107" i="2" s="1"/>
  <c r="R107" i="2"/>
  <c r="H107" i="2"/>
  <c r="G107" i="2"/>
  <c r="D107" i="2"/>
  <c r="V106" i="2"/>
  <c r="R106" i="2"/>
  <c r="H106" i="2"/>
  <c r="G106" i="2" s="1"/>
  <c r="Y106" i="2" s="1"/>
  <c r="D106" i="2"/>
  <c r="R105" i="2"/>
  <c r="Y105" i="2" s="1"/>
  <c r="G105" i="2"/>
  <c r="D105" i="2"/>
  <c r="R104" i="2"/>
  <c r="Y104" i="2" s="1"/>
  <c r="G104" i="2"/>
  <c r="D104" i="2"/>
  <c r="R103" i="2"/>
  <c r="Y103" i="2" s="1"/>
  <c r="G103" i="2"/>
  <c r="D103" i="2"/>
  <c r="V102" i="2"/>
  <c r="Y102" i="2" s="1"/>
  <c r="R102" i="2"/>
  <c r="G102" i="2"/>
  <c r="D102" i="2"/>
  <c r="R101" i="2"/>
  <c r="H101" i="2"/>
  <c r="G101" i="2"/>
  <c r="D101" i="2"/>
  <c r="R100" i="2"/>
  <c r="H100" i="2"/>
  <c r="G100" i="2"/>
  <c r="D100" i="2"/>
  <c r="R99" i="2"/>
  <c r="G99" i="2"/>
  <c r="D99" i="2"/>
  <c r="Y99" i="2"/>
  <c r="R98" i="2"/>
  <c r="G98" i="2"/>
  <c r="D98" i="2"/>
  <c r="R97" i="2"/>
  <c r="Y97" i="2" s="1"/>
  <c r="G97" i="2"/>
  <c r="D97" i="2"/>
  <c r="R96" i="2"/>
  <c r="H96" i="2"/>
  <c r="G96" i="2" s="1"/>
  <c r="Y96" i="2" s="1"/>
  <c r="D96" i="2"/>
  <c r="R95" i="2"/>
  <c r="G95" i="2"/>
  <c r="D95" i="2"/>
  <c r="R94" i="2"/>
  <c r="H94" i="2"/>
  <c r="G94" i="2" s="1"/>
  <c r="Y94" i="2" s="1"/>
  <c r="D94" i="2"/>
  <c r="R93" i="2"/>
  <c r="G93" i="2"/>
  <c r="D93" i="2"/>
  <c r="R92" i="2"/>
  <c r="G92" i="2"/>
  <c r="D92" i="2"/>
  <c r="R91" i="2"/>
  <c r="D91" i="2"/>
  <c r="H90" i="2"/>
  <c r="G90" i="2" s="1"/>
  <c r="D90" i="2"/>
  <c r="R89" i="2"/>
  <c r="H89" i="2"/>
  <c r="G89" i="2" s="1"/>
  <c r="D89" i="2"/>
  <c r="R88" i="2"/>
  <c r="H88" i="2"/>
  <c r="G88" i="2" s="1"/>
  <c r="D88" i="2"/>
  <c r="R87" i="2"/>
  <c r="Y87" i="2"/>
  <c r="G87" i="2"/>
  <c r="D87" i="2"/>
  <c r="R86" i="2"/>
  <c r="Y86" i="2"/>
  <c r="G86" i="2"/>
  <c r="D86" i="2"/>
  <c r="R85" i="2"/>
  <c r="Y85" i="2" s="1"/>
  <c r="G85" i="2"/>
  <c r="D85" i="2"/>
  <c r="R84" i="2"/>
  <c r="Y84" i="2" s="1"/>
  <c r="G84" i="2"/>
  <c r="D84" i="2"/>
  <c r="R83" i="2"/>
  <c r="G83" i="2"/>
  <c r="D83" i="2"/>
  <c r="R82" i="2"/>
  <c r="Y82" i="2" s="1"/>
  <c r="G82" i="2"/>
  <c r="D82" i="2"/>
  <c r="R81" i="2"/>
  <c r="G81" i="2"/>
  <c r="D81" i="2"/>
  <c r="Y81" i="2" s="1"/>
  <c r="R80" i="2"/>
  <c r="G80" i="2"/>
  <c r="D80" i="2"/>
  <c r="Y80" i="2" s="1"/>
  <c r="R79" i="2"/>
  <c r="Y79" i="2" s="1"/>
  <c r="G79" i="2"/>
  <c r="D79" i="2"/>
  <c r="R78" i="2"/>
  <c r="Y78" i="2" s="1"/>
  <c r="G78" i="2"/>
  <c r="D78" i="2"/>
  <c r="R77" i="2"/>
  <c r="G77" i="2"/>
  <c r="D77" i="2"/>
  <c r="R76" i="2"/>
  <c r="G76" i="2"/>
  <c r="D76" i="2"/>
  <c r="R75" i="2"/>
  <c r="G75" i="2"/>
  <c r="Y75" i="2" s="1"/>
  <c r="D75" i="2"/>
  <c r="R74" i="2"/>
  <c r="G74" i="2"/>
  <c r="Y74" i="2" s="1"/>
  <c r="D74" i="2"/>
  <c r="R73" i="2"/>
  <c r="G73" i="2"/>
  <c r="D73" i="2"/>
  <c r="R72" i="2"/>
  <c r="G72" i="2"/>
  <c r="D72" i="2"/>
  <c r="Y72" i="2"/>
  <c r="R71" i="2"/>
  <c r="G71" i="2"/>
  <c r="D71" i="2"/>
  <c r="R70" i="2"/>
  <c r="Y70" i="2" s="1"/>
  <c r="G70" i="2"/>
  <c r="D70" i="2"/>
  <c r="R69" i="2"/>
  <c r="Y69" i="2" s="1"/>
  <c r="G69" i="2"/>
  <c r="D69" i="2"/>
  <c r="R68" i="2"/>
  <c r="G68" i="2"/>
  <c r="D68" i="2"/>
  <c r="R67" i="2"/>
  <c r="G67" i="2"/>
  <c r="Y67" i="2" s="1"/>
  <c r="D67" i="2"/>
  <c r="R66" i="2"/>
  <c r="G66" i="2"/>
  <c r="Y66" i="2" s="1"/>
  <c r="D66" i="2"/>
  <c r="R65" i="2"/>
  <c r="G65" i="2"/>
  <c r="D65" i="2"/>
  <c r="R64" i="2"/>
  <c r="Y64" i="2" s="1"/>
  <c r="G64" i="2"/>
  <c r="D64" i="2"/>
  <c r="R63" i="2"/>
  <c r="G63" i="2"/>
  <c r="D63" i="2"/>
  <c r="R62" i="2"/>
  <c r="Y62" i="2" s="1"/>
  <c r="G62" i="2"/>
  <c r="D62" i="2"/>
  <c r="R61" i="2"/>
  <c r="Y61" i="2" s="1"/>
  <c r="G61" i="2"/>
  <c r="D61" i="2"/>
  <c r="R60" i="2"/>
  <c r="H60" i="2"/>
  <c r="G60" i="2" s="1"/>
  <c r="D60" i="2"/>
  <c r="R59" i="2"/>
  <c r="Y59" i="2" s="1"/>
  <c r="G59" i="2"/>
  <c r="D59" i="2"/>
  <c r="R58" i="2"/>
  <c r="G58" i="2"/>
  <c r="D58" i="2"/>
  <c r="R57" i="2"/>
  <c r="Y57" i="2" s="1"/>
  <c r="G57" i="2"/>
  <c r="D57" i="2"/>
  <c r="V56" i="2"/>
  <c r="R56" i="2"/>
  <c r="Y56" i="2" s="1"/>
  <c r="G56" i="2"/>
  <c r="D56" i="2"/>
  <c r="R55" i="2"/>
  <c r="H55" i="2"/>
  <c r="G55" i="2" s="1"/>
  <c r="D55" i="2"/>
  <c r="R54" i="2"/>
  <c r="Y54" i="2" s="1"/>
  <c r="H54" i="2"/>
  <c r="G54" i="2"/>
  <c r="D54" i="2"/>
  <c r="R53" i="2"/>
  <c r="H53" i="2"/>
  <c r="G53" i="2"/>
  <c r="D53" i="2"/>
  <c r="R52" i="2"/>
  <c r="R10" i="2"/>
  <c r="H52" i="2"/>
  <c r="G52" i="2"/>
  <c r="D52" i="2"/>
  <c r="R51" i="2"/>
  <c r="H51" i="2"/>
  <c r="G51" i="2"/>
  <c r="Y51" i="2" s="1"/>
  <c r="D51" i="2"/>
  <c r="R50" i="2"/>
  <c r="H50" i="2"/>
  <c r="G50" i="2"/>
  <c r="Y50" i="2" s="1"/>
  <c r="D50" i="2"/>
  <c r="R49" i="2"/>
  <c r="H49" i="2"/>
  <c r="G49" i="2"/>
  <c r="Y49" i="2" s="1"/>
  <c r="D49" i="2"/>
  <c r="R48" i="2"/>
  <c r="N48" i="2"/>
  <c r="H48" i="2"/>
  <c r="D48" i="2"/>
  <c r="R47" i="2"/>
  <c r="H47" i="2"/>
  <c r="G47" i="2" s="1"/>
  <c r="Y47" i="2" s="1"/>
  <c r="D47" i="2"/>
  <c r="R46" i="2"/>
  <c r="Y46" i="2" s="1"/>
  <c r="G46" i="2"/>
  <c r="D46" i="2"/>
  <c r="R45" i="2"/>
  <c r="G45" i="2"/>
  <c r="D45" i="2"/>
  <c r="R44" i="2"/>
  <c r="G44" i="2"/>
  <c r="D44" i="2"/>
  <c r="R43" i="2"/>
  <c r="D43" i="2"/>
  <c r="R42" i="2"/>
  <c r="Y42" i="2" s="1"/>
  <c r="H42" i="2"/>
  <c r="G42" i="2"/>
  <c r="D42" i="2"/>
  <c r="R41" i="2"/>
  <c r="H41" i="2"/>
  <c r="G41" i="2"/>
  <c r="D41" i="2"/>
  <c r="R40" i="2"/>
  <c r="H40" i="2"/>
  <c r="G40" i="2"/>
  <c r="D40" i="2"/>
  <c r="R39" i="2"/>
  <c r="H39" i="2"/>
  <c r="G39" i="2"/>
  <c r="D39" i="2"/>
  <c r="R38" i="2"/>
  <c r="H38" i="2"/>
  <c r="G38" i="2"/>
  <c r="D38" i="2"/>
  <c r="R37" i="2"/>
  <c r="H37" i="2"/>
  <c r="G37" i="2"/>
  <c r="D37" i="2"/>
  <c r="R36" i="2"/>
  <c r="H36" i="2"/>
  <c r="G36" i="2"/>
  <c r="D36" i="2"/>
  <c r="R35" i="2"/>
  <c r="G35" i="2"/>
  <c r="D35" i="2"/>
  <c r="R34" i="2"/>
  <c r="G34" i="2"/>
  <c r="D34" i="2"/>
  <c r="R33" i="2"/>
  <c r="G33" i="2"/>
  <c r="D33" i="2"/>
  <c r="R32" i="2"/>
  <c r="H32" i="2"/>
  <c r="G32" i="2" s="1"/>
  <c r="D32" i="2"/>
  <c r="R31" i="2"/>
  <c r="H31" i="2"/>
  <c r="G31" i="2" s="1"/>
  <c r="D31" i="2"/>
  <c r="R30" i="2"/>
  <c r="H30" i="2"/>
  <c r="G30" i="2" s="1"/>
  <c r="D30" i="2"/>
  <c r="R29" i="2"/>
  <c r="P131" i="2"/>
  <c r="H29" i="2"/>
  <c r="G29" i="2"/>
  <c r="D29" i="2"/>
  <c r="R28" i="2"/>
  <c r="G28" i="2"/>
  <c r="D28" i="2"/>
  <c r="R27" i="2"/>
  <c r="Y27" i="2" s="1"/>
  <c r="G27" i="2"/>
  <c r="D27" i="2"/>
  <c r="R26" i="2"/>
  <c r="Y26" i="2" s="1"/>
  <c r="G26" i="2"/>
  <c r="D26" i="2"/>
  <c r="R25" i="2"/>
  <c r="G25" i="2"/>
  <c r="D25" i="2"/>
  <c r="R24" i="2"/>
  <c r="G24" i="2"/>
  <c r="D24" i="2"/>
  <c r="Y24" i="2" s="1"/>
  <c r="R23" i="2"/>
  <c r="G23" i="2"/>
  <c r="Y23" i="2" s="1"/>
  <c r="D23" i="2"/>
  <c r="R22" i="2"/>
  <c r="G22" i="2"/>
  <c r="D22" i="2"/>
  <c r="R21" i="2"/>
  <c r="G21" i="2"/>
  <c r="D21" i="2"/>
  <c r="R20" i="2"/>
  <c r="G20" i="2"/>
  <c r="D20" i="2"/>
  <c r="R19" i="2"/>
  <c r="G19" i="2"/>
  <c r="Y19" i="2" s="1"/>
  <c r="D19" i="2"/>
  <c r="R18" i="2"/>
  <c r="Y18" i="2" s="1"/>
  <c r="G18" i="2"/>
  <c r="D18" i="2"/>
  <c r="R17" i="2"/>
  <c r="Y17" i="2" s="1"/>
  <c r="G17" i="2"/>
  <c r="D17" i="2"/>
  <c r="R16" i="2"/>
  <c r="G16" i="2"/>
  <c r="D16" i="2"/>
  <c r="R15" i="2"/>
  <c r="Q131" i="2"/>
  <c r="Q133" i="2" s="1"/>
  <c r="D15" i="2"/>
  <c r="R14" i="2"/>
  <c r="G14" i="2"/>
  <c r="Y14" i="2"/>
  <c r="D14" i="2"/>
  <c r="V13" i="2"/>
  <c r="R13" i="2"/>
  <c r="G13" i="2"/>
  <c r="D13" i="2"/>
  <c r="R12" i="2"/>
  <c r="G12" i="2"/>
  <c r="Y12" i="2" s="1"/>
  <c r="D12" i="2"/>
  <c r="R11" i="2"/>
  <c r="G11" i="2"/>
  <c r="D11" i="2"/>
  <c r="A11" i="2"/>
  <c r="A12" i="2"/>
  <c r="A13" i="2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G10" i="2"/>
  <c r="D10" i="2"/>
  <c r="Y60" i="2"/>
  <c r="Y76" i="2"/>
  <c r="N131" i="2"/>
  <c r="N133" i="2" s="1"/>
  <c r="G48" i="2"/>
  <c r="Y48" i="2" s="1"/>
  <c r="Y89" i="2"/>
  <c r="Y101" i="2"/>
  <c r="Y108" i="2"/>
  <c r="Y124" i="2"/>
  <c r="G15" i="2"/>
  <c r="Y15" i="2" s="1"/>
  <c r="H117" i="2"/>
  <c r="G117" i="2" s="1"/>
  <c r="Y117" i="2" s="1"/>
  <c r="Y113" i="2"/>
  <c r="H91" i="2"/>
  <c r="G91" i="2"/>
  <c r="Y91" i="2" s="1"/>
  <c r="H111" i="2"/>
  <c r="G111" i="2"/>
  <c r="Y111" i="2" s="1"/>
  <c r="H109" i="2"/>
  <c r="G109" i="2" s="1"/>
  <c r="H43" i="2"/>
  <c r="G43" i="2"/>
  <c r="Y43" i="2" s="1"/>
  <c r="H131" i="2"/>
  <c r="H133" i="2" s="1"/>
  <c r="H134" i="2" s="1"/>
  <c r="Y52" i="2"/>
  <c r="Y88" i="2"/>
  <c r="Y21" i="2" l="1"/>
  <c r="T133" i="2"/>
  <c r="T142" i="2"/>
  <c r="Y68" i="2"/>
  <c r="Y35" i="2"/>
  <c r="Y10" i="2"/>
  <c r="Y123" i="2"/>
  <c r="Y122" i="2"/>
  <c r="Y120" i="2"/>
  <c r="Y119" i="2"/>
  <c r="Y115" i="2"/>
  <c r="Y93" i="2"/>
  <c r="Y92" i="2"/>
  <c r="Y90" i="2"/>
  <c r="Y109" i="2"/>
  <c r="Y55" i="2"/>
  <c r="Y28" i="2"/>
  <c r="Y25" i="2"/>
  <c r="D131" i="2"/>
  <c r="D133" i="2" s="1"/>
  <c r="E137" i="2"/>
  <c r="R131" i="2"/>
  <c r="R133" i="2" s="1"/>
  <c r="Y32" i="2"/>
  <c r="Y11" i="2"/>
  <c r="Y16" i="2"/>
  <c r="Y22" i="2"/>
  <c r="Y29" i="2"/>
  <c r="Y31" i="2"/>
  <c r="Y36" i="2"/>
  <c r="Y37" i="2"/>
  <c r="Y38" i="2"/>
  <c r="Y39" i="2"/>
  <c r="Y40" i="2"/>
  <c r="Y41" i="2"/>
  <c r="Y44" i="2"/>
  <c r="Y125" i="2"/>
  <c r="Y30" i="2"/>
  <c r="V131" i="2"/>
  <c r="V133" i="2" s="1"/>
  <c r="Y13" i="2"/>
  <c r="Y20" i="2"/>
  <c r="Y34" i="2"/>
  <c r="Y100" i="2"/>
  <c r="Y33" i="2"/>
  <c r="Y63" i="2"/>
  <c r="Y71" i="2"/>
  <c r="Y77" i="2"/>
  <c r="Y98" i="2"/>
  <c r="Y114" i="2"/>
  <c r="M133" i="2"/>
  <c r="Y45" i="2"/>
  <c r="Y58" i="2"/>
  <c r="Y95" i="2"/>
  <c r="Y53" i="2"/>
  <c r="Y65" i="2"/>
  <c r="Y73" i="2"/>
  <c r="Y83" i="2"/>
  <c r="P133" i="2"/>
  <c r="G131" i="2"/>
  <c r="Y131" i="2" l="1"/>
  <c r="D137" i="2"/>
  <c r="G133" i="2"/>
  <c r="Y133" i="2" l="1"/>
  <c r="Y136" i="2"/>
</calcChain>
</file>

<file path=xl/sharedStrings.xml><?xml version="1.0" encoding="utf-8"?>
<sst xmlns="http://schemas.openxmlformats.org/spreadsheetml/2006/main" count="280" uniqueCount="275">
  <si>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</si>
  <si>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</si>
  <si>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</si>
  <si>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</si>
  <si>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</si>
  <si>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</si>
  <si>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</si>
  <si>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</si>
  <si>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</si>
  <si>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</si>
  <si>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</si>
  <si>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</si>
  <si>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</si>
  <si>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</si>
  <si>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</si>
  <si>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</si>
  <si>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</si>
  <si>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</si>
  <si>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</si>
  <si>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</si>
  <si>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</si>
  <si>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</si>
  <si>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</si>
  <si>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</si>
  <si>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</si>
  <si>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</si>
  <si>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</si>
  <si>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</si>
  <si>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</si>
  <si>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</si>
  <si>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</si>
  <si>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</si>
  <si>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</si>
  <si>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</si>
  <si>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</si>
  <si>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</si>
  <si>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</si>
  <si>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</si>
  <si>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</si>
  <si>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</si>
  <si>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</si>
  <si>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</si>
  <si>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</si>
  <si>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</si>
  <si>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</si>
  <si>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</si>
  <si>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</si>
  <si>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</si>
  <si>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</si>
  <si>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</si>
  <si>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</si>
  <si>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</si>
  <si>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</si>
  <si>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</si>
  <si>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</si>
  <si>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</si>
  <si>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</si>
  <si>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</si>
  <si>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</si>
  <si>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</si>
  <si>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</si>
  <si>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</si>
  <si>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НУЗ "Отделенческая поликлиника на ст. Хабаровск-1 ОАО "РЖД"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</si>
  <si>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</si>
  <si>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</si>
  <si>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</si>
  <si>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</si>
  <si>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"Щеглова В.Ф."</t>
  </si>
  <si>
    <t>ООО "Медицинский центр "Здравица ДВ"</t>
  </si>
  <si>
    <t>ООО "МРТ-Эксперт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</si>
  <si>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</si>
  <si>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</si>
  <si>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</si>
  <si>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</si>
  <si>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</si>
  <si>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</si>
  <si>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</si>
  <si>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</si>
  <si>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</si>
  <si>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 xml:space="preserve">ООО "МУ "Медгрупп ДВ" </t>
  </si>
  <si>
    <t>ООО "МУ "Империя здоровья"</t>
  </si>
  <si>
    <t xml:space="preserve">ООО "Дент-Арт-Восток" 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</si>
  <si>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</si>
  <si>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</si>
  <si>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</si>
  <si>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</si>
  <si>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</si>
  <si>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</si>
  <si>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</si>
  <si>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</si>
  <si>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</si>
  <si>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</si>
  <si>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</si>
  <si>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</si>
  <si>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</si>
  <si>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</si>
  <si>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</si>
  <si>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</si>
  <si>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</si>
  <si>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</si>
  <si>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</si>
  <si>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</si>
  <si>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</si>
  <si>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</si>
  <si>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</si>
  <si>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</si>
  <si>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</si>
  <si>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</si>
  <si>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</si>
  <si>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</si>
  <si>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</si>
  <si>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</si>
  <si>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</si>
  <si>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>КГБУЗ "Специализированная больница восстановительного лечения "Анненские Воды" МЗ ХК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</si>
  <si>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</si>
  <si>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</si>
  <si>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</si>
  <si>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</si>
  <si>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</si>
  <si>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</si>
  <si>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ФГАОУ ВПО "Дальневосточный федеральный университет"</t>
  </si>
  <si>
    <t>КГБУЗ "Детский клинический центр медицинской реабилитации "Амурский " МЗХК</t>
  </si>
  <si>
    <t>подушевое финансирование</t>
  </si>
  <si>
    <t>КГБУЗ "Комсомольская межрайонная больница"</t>
  </si>
  <si>
    <t xml:space="preserve">ФГБОУ ВО ДВГМУ Минздрава России </t>
  </si>
  <si>
    <t xml:space="preserve"> ООО "Афина"</t>
  </si>
  <si>
    <t>ООО "Белый клен"</t>
  </si>
  <si>
    <t>ООО "НАША КЛИНИКА-МЕДИЦИНА"</t>
  </si>
  <si>
    <t xml:space="preserve"> ООО "НОТ"</t>
  </si>
  <si>
    <t>ООО "Стоматология ДФ"</t>
  </si>
  <si>
    <t>ООО "Хабаровский центр глазной хирургии"</t>
  </si>
  <si>
    <t>ООО "Клиника красоты и здоровья"</t>
  </si>
  <si>
    <t>ООО "Визит"</t>
  </si>
  <si>
    <t xml:space="preserve"> ООО "МУ "ЦПМ-Групп"</t>
  </si>
  <si>
    <t>ООО "МУ "ЦМК-Групп"</t>
  </si>
  <si>
    <t>ООО "Ханбиков ДентЪ"</t>
  </si>
  <si>
    <t>ООО "Озон"</t>
  </si>
  <si>
    <t>ООО "Уральский клинический лечебно-реанимационный центр"</t>
  </si>
  <si>
    <t>ООО "ЭКО-Содействие"</t>
  </si>
  <si>
    <t>ООО "Центральная стоматологическая клиника"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</si>
  <si>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2017 год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</si>
  <si>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</si>
  <si>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</si>
  <si>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</si>
  <si>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</si>
  <si>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</si>
  <si>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</si>
  <si>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</si>
  <si>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</si>
  <si>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</si>
  <si>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</si>
  <si>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</si>
  <si>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1340012</t>
  </si>
  <si>
    <t>1340001</t>
  </si>
  <si>
    <t>1340003</t>
  </si>
  <si>
    <t>2106184</t>
  </si>
  <si>
    <t>2138206</t>
  </si>
  <si>
    <t>2306196</t>
  </si>
  <si>
    <t>2138207</t>
  </si>
  <si>
    <t>1343171</t>
  </si>
  <si>
    <t>1343004</t>
  </si>
  <si>
    <t>0352004</t>
  </si>
  <si>
    <t>1340010</t>
  </si>
  <si>
    <t>1343008</t>
  </si>
  <si>
    <t>1304001</t>
  </si>
  <si>
    <t>1340007</t>
  </si>
  <si>
    <t>6349008</t>
  </si>
  <si>
    <t>1340006</t>
  </si>
  <si>
    <t>1307014</t>
  </si>
  <si>
    <t>1340014</t>
  </si>
  <si>
    <t>1340013</t>
  </si>
  <si>
    <t>1340011</t>
  </si>
  <si>
    <t>1343303</t>
  </si>
  <si>
    <t>1343002</t>
  </si>
  <si>
    <t>1343001</t>
  </si>
  <si>
    <t>1340004</t>
  </si>
  <si>
    <t>1343005</t>
  </si>
  <si>
    <t>2107216</t>
  </si>
  <si>
    <t>3307181</t>
  </si>
  <si>
    <t>3307180</t>
  </si>
  <si>
    <t>3310001</t>
  </si>
  <si>
    <t>3131001</t>
  </si>
  <si>
    <t>4147001</t>
  </si>
  <si>
    <t>3207001</t>
  </si>
  <si>
    <t>3107001</t>
  </si>
  <si>
    <t>3107002</t>
  </si>
  <si>
    <t>3101009</t>
  </si>
  <si>
    <t>0306001</t>
  </si>
  <si>
    <t>3241001</t>
  </si>
  <si>
    <t>3151001</t>
  </si>
  <si>
    <t>3148002</t>
  </si>
  <si>
    <t>3141002</t>
  </si>
  <si>
    <t>3141003</t>
  </si>
  <si>
    <t>3141004</t>
  </si>
  <si>
    <t>3141007</t>
  </si>
  <si>
    <t>2107198</t>
  </si>
  <si>
    <t>2138208</t>
  </si>
  <si>
    <t>2138214</t>
  </si>
  <si>
    <t>2138215</t>
  </si>
  <si>
    <t>2138213</t>
  </si>
  <si>
    <t>2138212</t>
  </si>
  <si>
    <t>2138205</t>
  </si>
  <si>
    <t>2107202</t>
  </si>
  <si>
    <t>2307109</t>
  </si>
  <si>
    <t>2338199</t>
  </si>
  <si>
    <t>2138204</t>
  </si>
  <si>
    <t>2238211</t>
  </si>
  <si>
    <t>2301194</t>
  </si>
  <si>
    <t>2101193</t>
  </si>
  <si>
    <t>2101192</t>
  </si>
  <si>
    <t>2106185</t>
  </si>
  <si>
    <t>2306182</t>
  </si>
  <si>
    <t>2106179</t>
  </si>
  <si>
    <t>2307178</t>
  </si>
  <si>
    <t>2106177</t>
  </si>
  <si>
    <t>2107176</t>
  </si>
  <si>
    <t>2306172</t>
  </si>
  <si>
    <t>2138159</t>
  </si>
  <si>
    <t>2338163</t>
  </si>
  <si>
    <t>2138162</t>
  </si>
  <si>
    <t>2223001</t>
  </si>
  <si>
    <t>2101001</t>
  </si>
  <si>
    <t>2107803</t>
  </si>
  <si>
    <t>2304005</t>
  </si>
  <si>
    <t>2304002</t>
  </si>
  <si>
    <t>2138157</t>
  </si>
  <si>
    <t>2310001</t>
  </si>
  <si>
    <t>8156001</t>
  </si>
  <si>
    <t>6341001</t>
  </si>
  <si>
    <t>4346001</t>
  </si>
  <si>
    <t>2201024</t>
  </si>
  <si>
    <t>2207022</t>
  </si>
  <si>
    <t>2201001</t>
  </si>
  <si>
    <t>2201003</t>
  </si>
  <si>
    <t>2201017</t>
  </si>
  <si>
    <t>2107018</t>
  </si>
  <si>
    <t>2107019</t>
  </si>
  <si>
    <t>2107802</t>
  </si>
  <si>
    <t>2101007</t>
  </si>
  <si>
    <t>2101008</t>
  </si>
  <si>
    <t>2101011</t>
  </si>
  <si>
    <t>2101015</t>
  </si>
  <si>
    <t>2101016</t>
  </si>
  <si>
    <t>2141005</t>
  </si>
  <si>
    <t>2101003</t>
  </si>
  <si>
    <t>2148001</t>
  </si>
  <si>
    <t>2148002</t>
  </si>
  <si>
    <t>2148004</t>
  </si>
  <si>
    <t>2241001</t>
  </si>
  <si>
    <t>2241009</t>
  </si>
  <si>
    <t>2144011</t>
  </si>
  <si>
    <t>2141010</t>
  </si>
  <si>
    <t>2141002</t>
  </si>
  <si>
    <t>2301165</t>
  </si>
  <si>
    <t>0352007</t>
  </si>
  <si>
    <t>0352006</t>
  </si>
  <si>
    <t>0152001</t>
  </si>
  <si>
    <t>0352005</t>
  </si>
  <si>
    <t>5155001</t>
  </si>
  <si>
    <t>0353001</t>
  </si>
  <si>
    <t>Хабаровская поликлиника ФГБУЗ "ДВОМЦ ФМБА"</t>
  </si>
  <si>
    <t>основная часть (95%)</t>
  </si>
  <si>
    <t xml:space="preserve">Январь-май </t>
  </si>
  <si>
    <t>стимулирующая часть, с учетом фактического выполнения показателей</t>
  </si>
  <si>
    <t>код МО</t>
  </si>
  <si>
    <t>Итого подушевое финансирование</t>
  </si>
  <si>
    <t>в том числе</t>
  </si>
  <si>
    <t>Июнь-август</t>
  </si>
  <si>
    <t>сентябрь-декабрь</t>
  </si>
  <si>
    <t>основная часть</t>
  </si>
  <si>
    <t>Реш.Комисси от  2017 №7</t>
  </si>
  <si>
    <t>Реш.Комисси от  30.10.2017 №9</t>
  </si>
  <si>
    <t>откл</t>
  </si>
  <si>
    <t>ВСЕГО от 28.11.2017</t>
  </si>
  <si>
    <t>Приложение №9 к Решению Комиссии по разработке ТП ОМС от 09.02.2018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</si>
</sst>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9" fillId="0" borderId="0"/>
    <xf numFmtId="0" fontId="4" fillId="0" borderId="0"/>
    <xf numFmtId="0" fontId="11" fillId="0" borderId="0"/>
    <xf numFmtId="0" fontId="10" fillId="0" borderId="0"/>
    <xf numFmtId="0" fontId="10" fillId="0" borderId="0"/>
    <xf numFmtId="0" fontId="3" fillId="0" borderId="0" applyFill="0" applyBorder="0" applyProtection="0">
      <alignment wrapText="1"/>
      <protection locked="0"/>
    </xf>
    <xf numFmtId="0" fontId="2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4" applyFont="1" applyFill="1" applyAlignment="1">
      <alignment wrapText="1"/>
    </xf>
    <xf numFmtId="43" fontId="3" fillId="0" borderId="0" xfId="4" applyNumberFormat="1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4" applyFont="1" applyFill="1"/>
    <xf numFmtId="0" fontId="3" fillId="0" borderId="0" xfId="4" applyFont="1" applyFill="1" applyAlignment="1">
      <alignment horizontal="center"/>
    </xf>
    <xf numFmtId="0" fontId="3" fillId="0" borderId="2" xfId="7" applyFont="1" applyFill="1" applyBorder="1" applyAlignment="1">
      <alignment horizontal="center" vertical="center" wrapText="1"/>
    </xf>
    <xf numFmtId="0" fontId="3" fillId="0" borderId="1" xfId="4" applyFont="1" applyFill="1" applyBorder="1"/>
    <xf numFmtId="0" fontId="3" fillId="0" borderId="1" xfId="7" applyFont="1" applyFill="1" applyBorder="1" applyAlignment="1">
      <alignment wrapText="1"/>
    </xf>
    <xf numFmtId="164" fontId="3" fillId="0" borderId="1" xfId="9" applyNumberFormat="1" applyFont="1" applyFill="1" applyBorder="1"/>
    <xf numFmtId="164" fontId="7" fillId="0" borderId="1" xfId="9" applyNumberFormat="1" applyFont="1" applyFill="1" applyBorder="1"/>
    <xf numFmtId="164" fontId="3" fillId="0" borderId="0" xfId="4" applyNumberFormat="1" applyFont="1" applyFill="1"/>
    <xf numFmtId="0" fontId="3" fillId="0" borderId="1" xfId="7" applyFont="1" applyFill="1" applyBorder="1" applyAlignment="1">
      <alignment horizontal="left" wrapText="1"/>
    </xf>
    <xf numFmtId="0" fontId="3" fillId="0" borderId="1" xfId="7" applyFont="1" applyFill="1" applyBorder="1" applyAlignment="1">
      <alignment vertical="justify" wrapText="1"/>
    </xf>
    <xf numFmtId="4" fontId="3" fillId="0" borderId="0" xfId="4" applyNumberFormat="1" applyFont="1" applyFill="1"/>
    <xf numFmtId="164" fontId="8" fillId="0" borderId="1" xfId="9" applyNumberFormat="1" applyFont="1" applyFill="1" applyBorder="1"/>
    <xf numFmtId="0" fontId="7" fillId="0" borderId="1" xfId="4" applyFont="1" applyFill="1" applyBorder="1"/>
    <xf numFmtId="0" fontId="7" fillId="0" borderId="1" xfId="7" applyFont="1" applyFill="1" applyBorder="1" applyAlignment="1">
      <alignment wrapText="1"/>
    </xf>
    <xf numFmtId="0" fontId="7" fillId="0" borderId="0" xfId="4" applyFont="1" applyFill="1"/>
    <xf numFmtId="43" fontId="3" fillId="0" borderId="0" xfId="4" applyNumberFormat="1" applyFont="1" applyFill="1"/>
    <xf numFmtId="164" fontId="3" fillId="0" borderId="0" xfId="9" applyFont="1" applyFill="1"/>
    <xf numFmtId="0" fontId="3" fillId="0" borderId="1" xfId="4" applyFont="1" applyFill="1" applyBorder="1" applyAlignment="1">
      <alignment horizontal="left" wrapText="1"/>
    </xf>
    <xf numFmtId="164" fontId="3" fillId="0" borderId="1" xfId="21" applyNumberFormat="1" applyFont="1" applyFill="1" applyBorder="1"/>
    <xf numFmtId="0" fontId="3" fillId="0" borderId="1" xfId="7" applyFont="1" applyFill="1" applyBorder="1" applyAlignment="1">
      <alignment horizontal="center" vertical="center" wrapText="1"/>
    </xf>
    <xf numFmtId="0" fontId="3" fillId="0" borderId="0" xfId="4" applyFont="1" applyFill="1" applyAlignment="1">
      <alignment horizontal="center" wrapText="1"/>
    </xf>
    <xf numFmtId="0" fontId="3" fillId="0" borderId="0" xfId="4" applyFont="1" applyFill="1" applyAlignment="1">
      <alignment horizontal="center" wrapText="1"/>
    </xf>
    <xf numFmtId="0" fontId="3" fillId="0" borderId="6" xfId="7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" xfId="7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3" xfId="7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5" fillId="0" borderId="0" xfId="4" applyFont="1" applyFill="1" applyAlignment="1">
      <alignment horizontal="center" wrapText="1"/>
    </xf>
    <xf numFmtId="0" fontId="3" fillId="0" borderId="8" xfId="7" applyFont="1" applyFill="1" applyBorder="1" applyAlignment="1">
      <alignment horizontal="center" vertical="center" wrapText="1"/>
    </xf>
    <xf numFmtId="0" fontId="3" fillId="0" borderId="9" xfId="7" applyFont="1" applyFill="1" applyBorder="1" applyAlignment="1">
      <alignment horizontal="center" vertical="center" wrapText="1"/>
    </xf>
    <xf numFmtId="0" fontId="3" fillId="0" borderId="10" xfId="7" applyFont="1" applyFill="1" applyBorder="1" applyAlignment="1">
      <alignment horizontal="center" vertical="center" wrapText="1"/>
    </xf>
    <xf numFmtId="0" fontId="3" fillId="0" borderId="11" xfId="7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4" xfId="7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3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3" fillId="0" borderId="1" xfId="7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</cellXfs>
  <cellStyles count="43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Обычный Лена" xfId="6"/>
    <cellStyle name="Обычный_Таблицы Мун.заказ Стационар" xfId="7"/>
    <cellStyle name="Процентный 2" xfId="8"/>
    <cellStyle name="Финансовый" xfId="9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3"/>
  <sheetViews>
    <sheetView tabSelected="1" zoomScale="70" zoomScaleNormal="70" zoomScaleSheetLayoutView="85" workbookViewId="0">
      <pane xSplit="3" ySplit="9" topLeftCell="D121" activePane="bottomRight" state="frozen"/>
      <selection pane="topRight" activeCell="D1" sqref="D1"/>
      <selection pane="bottomLeft" activeCell="A10" sqref="A10"/>
      <selection pane="bottomRight" activeCell="B146" sqref="B146"/>
    </sheetView>
  </sheetViews>
  <sheetFormatPr defaultColWidth="8.25" defaultRowHeight="15.75" x14ac:dyDescent="0.25"/>
  <cols>
    <col min="1" max="1" width="4.625" style="4" customWidth="1"/>
    <col min="2" max="2" width="40.125" style="1" customWidth="1"/>
    <col min="3" max="3" width="13.75" style="1" hidden="1" customWidth="1"/>
    <col min="4" max="4" width="21" style="4" customWidth="1"/>
    <col min="5" max="5" width="22.375" style="4" hidden="1" customWidth="1"/>
    <col min="6" max="6" width="19.25" style="4" hidden="1" customWidth="1"/>
    <col min="7" max="7" width="19.25" style="4" customWidth="1"/>
    <col min="8" max="8" width="19.125" style="4" customWidth="1"/>
    <col min="9" max="9" width="20.375" style="4" hidden="1" customWidth="1"/>
    <col min="10" max="10" width="17.875" style="4" hidden="1" customWidth="1"/>
    <col min="11" max="11" width="19.375" style="4" hidden="1" customWidth="1"/>
    <col min="12" max="12" width="17.875" style="4" hidden="1" customWidth="1"/>
    <col min="13" max="13" width="21.75" style="4" hidden="1" customWidth="1"/>
    <col min="14" max="14" width="18.625" style="4" customWidth="1"/>
    <col min="15" max="15" width="17.5" style="4" customWidth="1"/>
    <col min="16" max="16" width="19.75" style="4" customWidth="1"/>
    <col min="17" max="17" width="19.375" style="4" customWidth="1"/>
    <col min="18" max="18" width="19.125" style="4" customWidth="1"/>
    <col min="19" max="19" width="19.5" style="4" hidden="1" customWidth="1"/>
    <col min="20" max="20" width="19.875" style="4" hidden="1" customWidth="1"/>
    <col min="21" max="21" width="18.125" style="4" customWidth="1"/>
    <col min="22" max="22" width="21" style="4" customWidth="1"/>
    <col min="23" max="23" width="22.5" style="4" hidden="1" customWidth="1"/>
    <col min="24" max="24" width="18.5" style="4" hidden="1" customWidth="1"/>
    <col min="25" max="25" width="22.25" style="4" customWidth="1"/>
    <col min="26" max="26" width="17.875" style="4" customWidth="1"/>
    <col min="27" max="27" width="20.125" style="4" customWidth="1"/>
    <col min="28" max="16384" width="8.25" style="4"/>
  </cols>
  <sheetData>
    <row r="1" spans="1:26" s="1" customFormat="1" ht="15.6" customHeight="1" x14ac:dyDescent="0.25">
      <c r="E1" s="24"/>
      <c r="F1" s="24"/>
      <c r="V1" s="25" t="s">
        <v>274</v>
      </c>
      <c r="W1" s="25"/>
      <c r="X1" s="25"/>
      <c r="Y1" s="25"/>
    </row>
    <row r="2" spans="1:26" s="1" customFormat="1" ht="24" customHeight="1" x14ac:dyDescent="0.25">
      <c r="E2" s="24"/>
      <c r="F2" s="24"/>
      <c r="I2" s="2"/>
      <c r="V2" s="25"/>
      <c r="W2" s="25"/>
      <c r="X2" s="25"/>
      <c r="Y2" s="25"/>
    </row>
    <row r="3" spans="1:26" s="1" customFormat="1" x14ac:dyDescent="0.25">
      <c r="E3" s="24"/>
      <c r="F3" s="24"/>
      <c r="X3" s="3"/>
      <c r="Y3" s="3"/>
    </row>
    <row r="4" spans="1:26" x14ac:dyDescent="0.25">
      <c r="B4" s="36" t="s">
        <v>140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</row>
    <row r="5" spans="1:26" x14ac:dyDescent="0.25">
      <c r="Y5" s="4" t="s">
        <v>0</v>
      </c>
    </row>
    <row r="6" spans="1:26" s="5" customFormat="1" x14ac:dyDescent="0.25">
      <c r="A6" s="29" t="s">
        <v>1</v>
      </c>
      <c r="B6" s="41" t="s">
        <v>2</v>
      </c>
      <c r="C6" s="41" t="s">
        <v>264</v>
      </c>
      <c r="D6" s="37" t="s">
        <v>3</v>
      </c>
      <c r="E6" s="38"/>
      <c r="F6" s="40"/>
      <c r="G6" s="37" t="s">
        <v>4</v>
      </c>
      <c r="H6" s="38"/>
      <c r="I6" s="39"/>
      <c r="J6" s="39"/>
      <c r="K6" s="39"/>
      <c r="L6" s="39"/>
      <c r="M6" s="39"/>
      <c r="N6" s="38"/>
      <c r="O6" s="38"/>
      <c r="P6" s="38"/>
      <c r="Q6" s="40"/>
      <c r="R6" s="37" t="s">
        <v>5</v>
      </c>
      <c r="S6" s="38"/>
      <c r="T6" s="40"/>
      <c r="U6" s="31" t="s">
        <v>6</v>
      </c>
      <c r="V6" s="26" t="s">
        <v>7</v>
      </c>
      <c r="W6" s="44"/>
      <c r="X6" s="45"/>
      <c r="Y6" s="46" t="s">
        <v>8</v>
      </c>
    </row>
    <row r="7" spans="1:26" s="5" customFormat="1" x14ac:dyDescent="0.25">
      <c r="A7" s="31"/>
      <c r="B7" s="42"/>
      <c r="C7" s="42"/>
      <c r="D7" s="26" t="s">
        <v>9</v>
      </c>
      <c r="E7" s="29" t="s">
        <v>10</v>
      </c>
      <c r="F7" s="29" t="s">
        <v>11</v>
      </c>
      <c r="G7" s="26" t="s">
        <v>9</v>
      </c>
      <c r="H7" s="29" t="s">
        <v>265</v>
      </c>
      <c r="I7" s="50" t="s">
        <v>266</v>
      </c>
      <c r="J7" s="51"/>
      <c r="K7" s="51"/>
      <c r="L7" s="52"/>
      <c r="M7" s="53"/>
      <c r="N7" s="29" t="s">
        <v>12</v>
      </c>
      <c r="O7" s="29" t="s">
        <v>13</v>
      </c>
      <c r="P7" s="29" t="s">
        <v>14</v>
      </c>
      <c r="Q7" s="29" t="s">
        <v>15</v>
      </c>
      <c r="R7" s="29" t="s">
        <v>9</v>
      </c>
      <c r="S7" s="29" t="s">
        <v>16</v>
      </c>
      <c r="T7" s="48" t="s">
        <v>17</v>
      </c>
      <c r="U7" s="43"/>
      <c r="V7" s="26" t="s">
        <v>9</v>
      </c>
      <c r="W7" s="31" t="s">
        <v>122</v>
      </c>
      <c r="X7" s="31" t="s">
        <v>18</v>
      </c>
      <c r="Y7" s="47"/>
    </row>
    <row r="8" spans="1:26" s="5" customFormat="1" x14ac:dyDescent="0.25">
      <c r="A8" s="31"/>
      <c r="B8" s="42"/>
      <c r="C8" s="32"/>
      <c r="D8" s="27"/>
      <c r="E8" s="30"/>
      <c r="F8" s="30"/>
      <c r="G8" s="27"/>
      <c r="H8" s="30"/>
      <c r="I8" s="29" t="s">
        <v>262</v>
      </c>
      <c r="J8" s="30"/>
      <c r="K8" s="26" t="s">
        <v>267</v>
      </c>
      <c r="L8" s="34"/>
      <c r="M8" s="31" t="s">
        <v>268</v>
      </c>
      <c r="N8" s="30"/>
      <c r="O8" s="30"/>
      <c r="P8" s="30"/>
      <c r="Q8" s="30"/>
      <c r="R8" s="30"/>
      <c r="S8" s="30"/>
      <c r="T8" s="49"/>
      <c r="U8" s="43"/>
      <c r="V8" s="27"/>
      <c r="W8" s="32"/>
      <c r="X8" s="32"/>
      <c r="Y8" s="47"/>
    </row>
    <row r="9" spans="1:26" s="5" customFormat="1" ht="78.75" x14ac:dyDescent="0.25">
      <c r="A9" s="6"/>
      <c r="B9" s="33"/>
      <c r="C9" s="33"/>
      <c r="D9" s="28"/>
      <c r="E9" s="30"/>
      <c r="F9" s="30"/>
      <c r="G9" s="28"/>
      <c r="H9" s="30"/>
      <c r="I9" s="23" t="s">
        <v>261</v>
      </c>
      <c r="J9" s="23" t="s">
        <v>263</v>
      </c>
      <c r="K9" s="23" t="s">
        <v>269</v>
      </c>
      <c r="L9" s="23" t="s">
        <v>263</v>
      </c>
      <c r="M9" s="35"/>
      <c r="N9" s="30"/>
      <c r="O9" s="30"/>
      <c r="P9" s="30"/>
      <c r="Q9" s="30"/>
      <c r="R9" s="30"/>
      <c r="S9" s="30"/>
      <c r="T9" s="49"/>
      <c r="U9" s="33"/>
      <c r="V9" s="28"/>
      <c r="W9" s="33"/>
      <c r="X9" s="33"/>
      <c r="Y9" s="33"/>
    </row>
    <row r="10" spans="1:26" ht="56.45" customHeight="1" x14ac:dyDescent="0.25">
      <c r="A10" s="7">
        <v>1</v>
      </c>
      <c r="B10" s="8" t="s">
        <v>19</v>
      </c>
      <c r="C10" s="8" t="s">
        <v>141</v>
      </c>
      <c r="D10" s="9">
        <f>E10+F10</f>
        <v>817661398.52821302</v>
      </c>
      <c r="E10" s="9">
        <f>640731819.977813-9814682</f>
        <v>630917137.97781301</v>
      </c>
      <c r="F10" s="9">
        <v>186744260.55039999</v>
      </c>
      <c r="G10" s="9">
        <f t="shared" ref="G10:G73" si="0">H10+N10+O10+P10+Q10</f>
        <v>88980646.480000004</v>
      </c>
      <c r="H10" s="9"/>
      <c r="I10" s="9"/>
      <c r="J10" s="9"/>
      <c r="K10" s="9"/>
      <c r="L10" s="9"/>
      <c r="M10" s="9"/>
      <c r="N10" s="9"/>
      <c r="O10" s="9"/>
      <c r="P10" s="9">
        <v>68671694</v>
      </c>
      <c r="Q10" s="9">
        <v>20308952.480000004</v>
      </c>
      <c r="R10" s="9">
        <f>S10+T10</f>
        <v>57350688.461266696</v>
      </c>
      <c r="S10" s="9">
        <f>30362551.65-7352613.13</f>
        <v>23009938.52</v>
      </c>
      <c r="T10" s="9">
        <f>36293383.9412667-1952634</f>
        <v>34340749.941266701</v>
      </c>
      <c r="U10" s="9">
        <f>205776850-4638850</f>
        <v>201138000</v>
      </c>
      <c r="V10" s="9"/>
      <c r="W10" s="9"/>
      <c r="X10" s="9"/>
      <c r="Y10" s="10">
        <f t="shared" ref="Y10:Y73" si="1">V10+R10+G10+D10+U10</f>
        <v>1165130733.4694798</v>
      </c>
      <c r="Z10" s="11"/>
    </row>
    <row r="11" spans="1:26" ht="38.1" customHeight="1" x14ac:dyDescent="0.25">
      <c r="A11" s="7">
        <f>A10+1</f>
        <v>2</v>
      </c>
      <c r="B11" s="8" t="s">
        <v>20</v>
      </c>
      <c r="C11" s="8" t="s">
        <v>142</v>
      </c>
      <c r="D11" s="9">
        <f t="shared" ref="D11:D24" si="2">E11+F11</f>
        <v>1065634961.2161001</v>
      </c>
      <c r="E11" s="9">
        <f>745591329.48+1703189</f>
        <v>747294518.48000002</v>
      </c>
      <c r="F11" s="9">
        <v>318340442.73610008</v>
      </c>
      <c r="G11" s="9">
        <f t="shared" si="0"/>
        <v>51901668.100000001</v>
      </c>
      <c r="H11" s="9"/>
      <c r="I11" s="9"/>
      <c r="J11" s="9"/>
      <c r="K11" s="9"/>
      <c r="L11" s="9"/>
      <c r="M11" s="9"/>
      <c r="N11" s="9"/>
      <c r="O11" s="9"/>
      <c r="P11" s="9">
        <v>42131822.600000001</v>
      </c>
      <c r="Q11" s="9">
        <v>9769845.5</v>
      </c>
      <c r="R11" s="9">
        <f t="shared" ref="R11:R74" si="3">S11+T11</f>
        <v>4356683.79</v>
      </c>
      <c r="S11" s="9">
        <v>4356683.79</v>
      </c>
      <c r="T11" s="9"/>
      <c r="U11" s="9"/>
      <c r="V11" s="9"/>
      <c r="W11" s="9"/>
      <c r="X11" s="9"/>
      <c r="Y11" s="10">
        <f t="shared" si="1"/>
        <v>1121893313.1061001</v>
      </c>
      <c r="Z11" s="11"/>
    </row>
    <row r="12" spans="1:26" ht="38.1" customHeight="1" x14ac:dyDescent="0.25">
      <c r="A12" s="7">
        <f t="shared" ref="A12:A75" si="4">A11+1</f>
        <v>3</v>
      </c>
      <c r="B12" s="8" t="s">
        <v>21</v>
      </c>
      <c r="C12" s="8" t="s">
        <v>143</v>
      </c>
      <c r="D12" s="9">
        <f>E12+F12</f>
        <v>374608909.81716657</v>
      </c>
      <c r="E12" s="9">
        <v>359766187.80666655</v>
      </c>
      <c r="F12" s="9">
        <v>14842722.010500001</v>
      </c>
      <c r="G12" s="9">
        <f t="shared" si="0"/>
        <v>76988037.520000011</v>
      </c>
      <c r="H12" s="9"/>
      <c r="I12" s="9"/>
      <c r="J12" s="9"/>
      <c r="K12" s="9"/>
      <c r="L12" s="9"/>
      <c r="M12" s="9"/>
      <c r="N12" s="9"/>
      <c r="O12" s="9"/>
      <c r="P12" s="9">
        <f>56770614.92+200128</f>
        <v>56970742.920000002</v>
      </c>
      <c r="Q12" s="9">
        <f>17725521.6+2291773</f>
        <v>20017294.600000001</v>
      </c>
      <c r="R12" s="9">
        <f t="shared" si="3"/>
        <v>144641223.83724999</v>
      </c>
      <c r="S12" s="9">
        <v>135585072.88725001</v>
      </c>
      <c r="T12" s="9">
        <v>9056150.9499999993</v>
      </c>
      <c r="U12" s="9"/>
      <c r="V12" s="9"/>
      <c r="W12" s="9"/>
      <c r="X12" s="9"/>
      <c r="Y12" s="10">
        <f t="shared" si="1"/>
        <v>596238171.17441654</v>
      </c>
      <c r="Z12" s="11"/>
    </row>
    <row r="13" spans="1:26" ht="53.45" customHeight="1" x14ac:dyDescent="0.25">
      <c r="A13" s="7">
        <f t="shared" si="4"/>
        <v>4</v>
      </c>
      <c r="B13" s="8" t="s">
        <v>22</v>
      </c>
      <c r="C13" s="8" t="s">
        <v>144</v>
      </c>
      <c r="D13" s="9">
        <f t="shared" si="2"/>
        <v>344986100.84335834</v>
      </c>
      <c r="E13" s="9">
        <v>329347726.41475832</v>
      </c>
      <c r="F13" s="9">
        <v>15638374.4286</v>
      </c>
      <c r="G13" s="9">
        <f t="shared" si="0"/>
        <v>103109873.2</v>
      </c>
      <c r="H13" s="9"/>
      <c r="I13" s="9"/>
      <c r="J13" s="9"/>
      <c r="K13" s="9"/>
      <c r="L13" s="9"/>
      <c r="M13" s="9"/>
      <c r="N13" s="9"/>
      <c r="O13" s="9"/>
      <c r="P13" s="9">
        <v>70109109.700000003</v>
      </c>
      <c r="Q13" s="9">
        <v>33000763.5</v>
      </c>
      <c r="R13" s="9">
        <f t="shared" si="3"/>
        <v>39632313.550000004</v>
      </c>
      <c r="S13" s="9">
        <v>33765752.450000003</v>
      </c>
      <c r="T13" s="9">
        <v>5866561.0999999996</v>
      </c>
      <c r="U13" s="9"/>
      <c r="V13" s="9">
        <f>SUM(W13:X13)</f>
        <v>269249</v>
      </c>
      <c r="W13" s="9"/>
      <c r="X13" s="9">
        <v>269249</v>
      </c>
      <c r="Y13" s="10">
        <f t="shared" si="1"/>
        <v>487997536.59335834</v>
      </c>
      <c r="Z13" s="11"/>
    </row>
    <row r="14" spans="1:26" ht="38.1" customHeight="1" x14ac:dyDescent="0.25">
      <c r="A14" s="7">
        <f t="shared" si="4"/>
        <v>5</v>
      </c>
      <c r="B14" s="12" t="s">
        <v>23</v>
      </c>
      <c r="C14" s="12" t="s">
        <v>145</v>
      </c>
      <c r="D14" s="9">
        <f t="shared" si="2"/>
        <v>460967102.63999999</v>
      </c>
      <c r="E14" s="9">
        <f>395796060.28+51928027.92</f>
        <v>447724088.19999999</v>
      </c>
      <c r="F14" s="9">
        <v>13243014.440000001</v>
      </c>
      <c r="G14" s="9">
        <f t="shared" si="0"/>
        <v>201892627.34999999</v>
      </c>
      <c r="H14" s="9"/>
      <c r="I14" s="9"/>
      <c r="J14" s="9"/>
      <c r="K14" s="9"/>
      <c r="L14" s="9"/>
      <c r="M14" s="9"/>
      <c r="N14" s="9"/>
      <c r="O14" s="9"/>
      <c r="P14" s="9">
        <v>26533634.400000006</v>
      </c>
      <c r="Q14" s="9">
        <f>176907768.95-1548776</f>
        <v>175358992.94999999</v>
      </c>
      <c r="R14" s="9">
        <f t="shared" si="3"/>
        <v>112449833.66</v>
      </c>
      <c r="S14" s="9">
        <v>3225789.32</v>
      </c>
      <c r="T14" s="9">
        <f>99063719.9+10160324.44</f>
        <v>109224044.34</v>
      </c>
      <c r="U14" s="9"/>
      <c r="V14" s="9"/>
      <c r="W14" s="9"/>
      <c r="X14" s="9"/>
      <c r="Y14" s="10">
        <f t="shared" si="1"/>
        <v>775309563.64999998</v>
      </c>
      <c r="Z14" s="11"/>
    </row>
    <row r="15" spans="1:26" ht="38.1" customHeight="1" x14ac:dyDescent="0.25">
      <c r="A15" s="7">
        <f t="shared" si="4"/>
        <v>6</v>
      </c>
      <c r="B15" s="12" t="s">
        <v>24</v>
      </c>
      <c r="C15" s="12" t="s">
        <v>146</v>
      </c>
      <c r="D15" s="9">
        <f t="shared" si="2"/>
        <v>0</v>
      </c>
      <c r="E15" s="9"/>
      <c r="F15" s="9"/>
      <c r="G15" s="9">
        <f t="shared" si="0"/>
        <v>273960584.32763201</v>
      </c>
      <c r="H15" s="9"/>
      <c r="I15" s="9"/>
      <c r="J15" s="9"/>
      <c r="K15" s="9"/>
      <c r="L15" s="9"/>
      <c r="M15" s="9"/>
      <c r="N15" s="9"/>
      <c r="O15" s="9"/>
      <c r="P15" s="9">
        <f>128679771.867632+223841.28+189950.67</f>
        <v>129093563.817632</v>
      </c>
      <c r="Q15" s="9">
        <f>144710549.61+156470.9</f>
        <v>144867020.51000002</v>
      </c>
      <c r="R15" s="9">
        <f t="shared" si="3"/>
        <v>41800306.580199994</v>
      </c>
      <c r="S15" s="9"/>
      <c r="T15" s="9">
        <v>41800306.580199994</v>
      </c>
      <c r="U15" s="9"/>
      <c r="V15" s="9"/>
      <c r="W15" s="9"/>
      <c r="X15" s="9"/>
      <c r="Y15" s="10">
        <f t="shared" si="1"/>
        <v>315760890.90783203</v>
      </c>
      <c r="Z15" s="11"/>
    </row>
    <row r="16" spans="1:26" ht="60.75" customHeight="1" x14ac:dyDescent="0.25">
      <c r="A16" s="7">
        <f t="shared" si="4"/>
        <v>7</v>
      </c>
      <c r="B16" s="12" t="s">
        <v>25</v>
      </c>
      <c r="C16" s="12" t="s">
        <v>147</v>
      </c>
      <c r="D16" s="9">
        <f t="shared" si="2"/>
        <v>0</v>
      </c>
      <c r="E16" s="9"/>
      <c r="F16" s="9"/>
      <c r="G16" s="9">
        <f t="shared" si="0"/>
        <v>130930567.05578901</v>
      </c>
      <c r="H16" s="9"/>
      <c r="I16" s="9"/>
      <c r="J16" s="9"/>
      <c r="K16" s="9"/>
      <c r="L16" s="9"/>
      <c r="M16" s="9"/>
      <c r="N16" s="9"/>
      <c r="O16" s="9"/>
      <c r="P16" s="9">
        <f>128677375.155789+2253191.9</f>
        <v>130930567.05578901</v>
      </c>
      <c r="Q16" s="9"/>
      <c r="R16" s="9">
        <f t="shared" si="3"/>
        <v>0</v>
      </c>
      <c r="S16" s="9"/>
      <c r="T16" s="9"/>
      <c r="U16" s="9"/>
      <c r="V16" s="9"/>
      <c r="W16" s="9"/>
      <c r="X16" s="9"/>
      <c r="Y16" s="10">
        <f t="shared" si="1"/>
        <v>130930567.05578901</v>
      </c>
      <c r="Z16" s="11"/>
    </row>
    <row r="17" spans="1:26" ht="38.1" customHeight="1" x14ac:dyDescent="0.25">
      <c r="A17" s="7">
        <f t="shared" si="4"/>
        <v>8</v>
      </c>
      <c r="B17" s="12" t="s">
        <v>26</v>
      </c>
      <c r="C17" s="12" t="s">
        <v>148</v>
      </c>
      <c r="D17" s="9">
        <f t="shared" si="2"/>
        <v>0</v>
      </c>
      <c r="E17" s="9"/>
      <c r="F17" s="9"/>
      <c r="G17" s="9">
        <f t="shared" si="0"/>
        <v>49015000</v>
      </c>
      <c r="H17" s="9"/>
      <c r="I17" s="9"/>
      <c r="J17" s="9"/>
      <c r="K17" s="9"/>
      <c r="L17" s="9"/>
      <c r="M17" s="9"/>
      <c r="N17" s="9"/>
      <c r="O17" s="9"/>
      <c r="P17" s="9">
        <v>49015000</v>
      </c>
      <c r="Q17" s="9"/>
      <c r="R17" s="9">
        <f t="shared" si="3"/>
        <v>0</v>
      </c>
      <c r="S17" s="9"/>
      <c r="T17" s="9"/>
      <c r="U17" s="9"/>
      <c r="V17" s="9"/>
      <c r="W17" s="9"/>
      <c r="X17" s="9"/>
      <c r="Y17" s="10">
        <f t="shared" si="1"/>
        <v>49015000</v>
      </c>
      <c r="Z17" s="11"/>
    </row>
    <row r="18" spans="1:26" ht="38.1" customHeight="1" x14ac:dyDescent="0.25">
      <c r="A18" s="7">
        <f t="shared" si="4"/>
        <v>9</v>
      </c>
      <c r="B18" s="12" t="s">
        <v>27</v>
      </c>
      <c r="C18" s="12" t="s">
        <v>149</v>
      </c>
      <c r="D18" s="9">
        <f t="shared" si="2"/>
        <v>0</v>
      </c>
      <c r="E18" s="9"/>
      <c r="F18" s="9"/>
      <c r="G18" s="9">
        <f t="shared" si="0"/>
        <v>55385773.640000001</v>
      </c>
      <c r="H18" s="9"/>
      <c r="I18" s="9"/>
      <c r="J18" s="9"/>
      <c r="K18" s="9"/>
      <c r="L18" s="9"/>
      <c r="M18" s="9"/>
      <c r="N18" s="9"/>
      <c r="O18" s="9"/>
      <c r="P18" s="9">
        <f>56935824-1550050.36</f>
        <v>55385773.640000001</v>
      </c>
      <c r="Q18" s="9"/>
      <c r="R18" s="9">
        <f t="shared" si="3"/>
        <v>0</v>
      </c>
      <c r="S18" s="9"/>
      <c r="T18" s="9"/>
      <c r="U18" s="9"/>
      <c r="V18" s="9"/>
      <c r="W18" s="9"/>
      <c r="X18" s="9"/>
      <c r="Y18" s="10">
        <f t="shared" si="1"/>
        <v>55385773.640000001</v>
      </c>
      <c r="Z18" s="11"/>
    </row>
    <row r="19" spans="1:26" ht="51" customHeight="1" x14ac:dyDescent="0.25">
      <c r="A19" s="7">
        <f t="shared" si="4"/>
        <v>10</v>
      </c>
      <c r="B19" s="8" t="s">
        <v>28</v>
      </c>
      <c r="C19" s="8" t="s">
        <v>150</v>
      </c>
      <c r="D19" s="9">
        <f t="shared" si="2"/>
        <v>0</v>
      </c>
      <c r="E19" s="9"/>
      <c r="F19" s="9"/>
      <c r="G19" s="9">
        <f t="shared" si="0"/>
        <v>7144238.2999999998</v>
      </c>
      <c r="H19" s="9"/>
      <c r="I19" s="9"/>
      <c r="J19" s="9"/>
      <c r="K19" s="9"/>
      <c r="L19" s="9"/>
      <c r="M19" s="9"/>
      <c r="N19" s="9"/>
      <c r="O19" s="9"/>
      <c r="P19" s="9"/>
      <c r="Q19" s="9">
        <f>7845506-701267.7</f>
        <v>7144238.2999999998</v>
      </c>
      <c r="R19" s="9">
        <f t="shared" si="3"/>
        <v>0</v>
      </c>
      <c r="S19" s="9"/>
      <c r="T19" s="9"/>
      <c r="U19" s="9"/>
      <c r="V19" s="9"/>
      <c r="W19" s="9"/>
      <c r="X19" s="9"/>
      <c r="Y19" s="10">
        <f t="shared" si="1"/>
        <v>7144238.2999999998</v>
      </c>
      <c r="Z19" s="11"/>
    </row>
    <row r="20" spans="1:26" ht="38.1" customHeight="1" x14ac:dyDescent="0.25">
      <c r="A20" s="7">
        <f t="shared" si="4"/>
        <v>11</v>
      </c>
      <c r="B20" s="8" t="s">
        <v>29</v>
      </c>
      <c r="C20" s="8" t="s">
        <v>151</v>
      </c>
      <c r="D20" s="9">
        <f t="shared" si="2"/>
        <v>65627928.152558304</v>
      </c>
      <c r="E20" s="9">
        <f>49285050.6925583+8490171</f>
        <v>57775221.692558303</v>
      </c>
      <c r="F20" s="9">
        <v>7852706.46</v>
      </c>
      <c r="G20" s="9">
        <f t="shared" si="0"/>
        <v>43071840</v>
      </c>
      <c r="H20" s="9"/>
      <c r="I20" s="9"/>
      <c r="J20" s="9"/>
      <c r="K20" s="9"/>
      <c r="L20" s="9"/>
      <c r="M20" s="9"/>
      <c r="N20" s="9"/>
      <c r="O20" s="9"/>
      <c r="P20" s="9">
        <v>43071840</v>
      </c>
      <c r="Q20" s="9"/>
      <c r="R20" s="9">
        <f t="shared" si="3"/>
        <v>27476086.028999999</v>
      </c>
      <c r="S20" s="9">
        <v>13183805.082</v>
      </c>
      <c r="T20" s="9">
        <v>14292280.946999999</v>
      </c>
      <c r="U20" s="9"/>
      <c r="V20" s="9"/>
      <c r="W20" s="9"/>
      <c r="X20" s="9"/>
      <c r="Y20" s="10">
        <f t="shared" si="1"/>
        <v>136175854.18155831</v>
      </c>
      <c r="Z20" s="11"/>
    </row>
    <row r="21" spans="1:26" ht="38.1" customHeight="1" x14ac:dyDescent="0.25">
      <c r="A21" s="7">
        <f t="shared" si="4"/>
        <v>12</v>
      </c>
      <c r="B21" s="8" t="s">
        <v>30</v>
      </c>
      <c r="C21" s="8" t="s">
        <v>259</v>
      </c>
      <c r="D21" s="9">
        <f t="shared" si="2"/>
        <v>306683266.41475797</v>
      </c>
      <c r="E21" s="9">
        <f>225065922.164358+25503260.83</f>
        <v>250569182.994358</v>
      </c>
      <c r="F21" s="9">
        <v>56114083.420399994</v>
      </c>
      <c r="G21" s="9">
        <f t="shared" si="0"/>
        <v>5106163.6100000003</v>
      </c>
      <c r="H21" s="9"/>
      <c r="I21" s="9"/>
      <c r="J21" s="9"/>
      <c r="K21" s="9"/>
      <c r="L21" s="9"/>
      <c r="M21" s="9"/>
      <c r="N21" s="9"/>
      <c r="O21" s="9"/>
      <c r="P21" s="9">
        <v>710564.4</v>
      </c>
      <c r="Q21" s="9">
        <f>4743185.63-347586.42</f>
        <v>4395599.21</v>
      </c>
      <c r="R21" s="9">
        <f t="shared" si="3"/>
        <v>52567675.796550006</v>
      </c>
      <c r="S21" s="9">
        <v>593678.09</v>
      </c>
      <c r="T21" s="9">
        <f>37475714.61655+14498283.09</f>
        <v>51973997.706550002</v>
      </c>
      <c r="U21" s="9"/>
      <c r="V21" s="9"/>
      <c r="W21" s="9"/>
      <c r="X21" s="9"/>
      <c r="Y21" s="10">
        <f t="shared" si="1"/>
        <v>364357105.82130796</v>
      </c>
      <c r="Z21" s="11"/>
    </row>
    <row r="22" spans="1:26" ht="38.1" customHeight="1" x14ac:dyDescent="0.25">
      <c r="A22" s="7">
        <f t="shared" si="4"/>
        <v>13</v>
      </c>
      <c r="B22" s="8" t="s">
        <v>31</v>
      </c>
      <c r="C22" s="8" t="s">
        <v>258</v>
      </c>
      <c r="D22" s="9">
        <f t="shared" si="2"/>
        <v>10866412.51</v>
      </c>
      <c r="E22" s="9">
        <v>10866412.51</v>
      </c>
      <c r="F22" s="9"/>
      <c r="G22" s="9">
        <f t="shared" si="0"/>
        <v>8373186.0883333283</v>
      </c>
      <c r="H22" s="9">
        <f>SUM(I22:M22)</f>
        <v>5922209.7899999991</v>
      </c>
      <c r="I22" s="9">
        <v>2140520.2209999994</v>
      </c>
      <c r="J22" s="9">
        <v>49569.929000000469</v>
      </c>
      <c r="K22" s="9">
        <v>1532350.2999999998</v>
      </c>
      <c r="L22" s="9">
        <v>7346.8599999999778</v>
      </c>
      <c r="M22" s="9">
        <v>2192422.4799999995</v>
      </c>
      <c r="N22" s="9">
        <f>3037491.49833333-600000</f>
        <v>2437491.4983333298</v>
      </c>
      <c r="O22" s="9"/>
      <c r="P22" s="9">
        <v>13484.8</v>
      </c>
      <c r="Q22" s="9"/>
      <c r="R22" s="9">
        <f t="shared" si="3"/>
        <v>1534291.13</v>
      </c>
      <c r="S22" s="9"/>
      <c r="T22" s="9">
        <v>1534291.13</v>
      </c>
      <c r="U22" s="9"/>
      <c r="V22" s="9"/>
      <c r="W22" s="9"/>
      <c r="X22" s="9"/>
      <c r="Y22" s="10">
        <f t="shared" si="1"/>
        <v>20773889.728333328</v>
      </c>
      <c r="Z22" s="11"/>
    </row>
    <row r="23" spans="1:26" ht="59.45" customHeight="1" x14ac:dyDescent="0.25">
      <c r="A23" s="7">
        <f t="shared" si="4"/>
        <v>14</v>
      </c>
      <c r="B23" s="8" t="s">
        <v>32</v>
      </c>
      <c r="C23" s="8" t="s">
        <v>257</v>
      </c>
      <c r="D23" s="9">
        <f t="shared" si="2"/>
        <v>159133203.4395417</v>
      </c>
      <c r="E23" s="9">
        <f>80841848.3515417+3202296</f>
        <v>84044144.351541698</v>
      </c>
      <c r="F23" s="9">
        <v>75089059.088</v>
      </c>
      <c r="G23" s="9">
        <f t="shared" si="0"/>
        <v>16418239.030000001</v>
      </c>
      <c r="H23" s="9"/>
      <c r="I23" s="9"/>
      <c r="J23" s="9"/>
      <c r="K23" s="9"/>
      <c r="L23" s="9"/>
      <c r="M23" s="9"/>
      <c r="N23" s="9"/>
      <c r="O23" s="9"/>
      <c r="P23" s="9">
        <f>6938568+32579.82</f>
        <v>6971147.8200000003</v>
      </c>
      <c r="Q23" s="9">
        <f>9443619.21+3472</f>
        <v>9447091.2100000009</v>
      </c>
      <c r="R23" s="9">
        <f t="shared" si="3"/>
        <v>0</v>
      </c>
      <c r="S23" s="9"/>
      <c r="T23" s="9"/>
      <c r="U23" s="9"/>
      <c r="V23" s="9"/>
      <c r="W23" s="9"/>
      <c r="X23" s="9"/>
      <c r="Y23" s="10">
        <f t="shared" si="1"/>
        <v>175551442.4695417</v>
      </c>
      <c r="Z23" s="11"/>
    </row>
    <row r="24" spans="1:26" ht="38.1" customHeight="1" x14ac:dyDescent="0.25">
      <c r="A24" s="7">
        <f t="shared" si="4"/>
        <v>15</v>
      </c>
      <c r="B24" s="8" t="s">
        <v>33</v>
      </c>
      <c r="C24" s="8" t="s">
        <v>256</v>
      </c>
      <c r="D24" s="9">
        <f t="shared" si="2"/>
        <v>57888827.520166703</v>
      </c>
      <c r="E24" s="9">
        <f>59973453.5201667-2084626</f>
        <v>57888827.520166703</v>
      </c>
      <c r="F24" s="9"/>
      <c r="G24" s="9">
        <f t="shared" si="0"/>
        <v>0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>
        <f t="shared" si="3"/>
        <v>0</v>
      </c>
      <c r="S24" s="9"/>
      <c r="T24" s="9"/>
      <c r="U24" s="9"/>
      <c r="V24" s="9"/>
      <c r="W24" s="9"/>
      <c r="X24" s="9"/>
      <c r="Y24" s="10">
        <f t="shared" si="1"/>
        <v>57888827.520166703</v>
      </c>
      <c r="Z24" s="11"/>
    </row>
    <row r="25" spans="1:26" ht="78.75" x14ac:dyDescent="0.25">
      <c r="A25" s="7">
        <f t="shared" si="4"/>
        <v>16</v>
      </c>
      <c r="B25" s="13" t="s">
        <v>34</v>
      </c>
      <c r="C25" s="13" t="s">
        <v>255</v>
      </c>
      <c r="D25" s="9">
        <f>E25+F25</f>
        <v>7397909.2799999993</v>
      </c>
      <c r="E25" s="9">
        <f>7575329.64-177420.36</f>
        <v>7397909.2799999993</v>
      </c>
      <c r="F25" s="9"/>
      <c r="G25" s="9">
        <f t="shared" si="0"/>
        <v>1693855.8</v>
      </c>
      <c r="H25" s="9"/>
      <c r="I25" s="9"/>
      <c r="J25" s="9"/>
      <c r="K25" s="9"/>
      <c r="L25" s="9"/>
      <c r="M25" s="9"/>
      <c r="N25" s="9"/>
      <c r="O25" s="9"/>
      <c r="P25" s="9">
        <f>1891890-198034.2</f>
        <v>1693855.8</v>
      </c>
      <c r="Q25" s="9"/>
      <c r="R25" s="9">
        <f t="shared" si="3"/>
        <v>2746418.4800000004</v>
      </c>
      <c r="S25" s="9">
        <f>2878715.97-132297.49</f>
        <v>2746418.4800000004</v>
      </c>
      <c r="T25" s="9"/>
      <c r="U25" s="9"/>
      <c r="V25" s="9"/>
      <c r="W25" s="9"/>
      <c r="X25" s="9"/>
      <c r="Y25" s="10">
        <f t="shared" si="1"/>
        <v>11838183.559999999</v>
      </c>
      <c r="Z25" s="11"/>
    </row>
    <row r="26" spans="1:26" ht="53.25" customHeight="1" x14ac:dyDescent="0.25">
      <c r="A26" s="7">
        <f t="shared" si="4"/>
        <v>17</v>
      </c>
      <c r="B26" s="8" t="s">
        <v>35</v>
      </c>
      <c r="C26" s="8" t="s">
        <v>254</v>
      </c>
      <c r="D26" s="9">
        <f t="shared" ref="D26:D89" si="5">E26+F26</f>
        <v>36132523.0580042</v>
      </c>
      <c r="E26" s="9">
        <f>22073258.4396042-276427.92</f>
        <v>21796830.519604199</v>
      </c>
      <c r="F26" s="9">
        <v>14335692.538399998</v>
      </c>
      <c r="G26" s="9">
        <f t="shared" si="0"/>
        <v>0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>
        <f t="shared" si="3"/>
        <v>0</v>
      </c>
      <c r="S26" s="9"/>
      <c r="T26" s="9"/>
      <c r="U26" s="9"/>
      <c r="V26" s="9"/>
      <c r="W26" s="9"/>
      <c r="X26" s="9"/>
      <c r="Y26" s="10">
        <f t="shared" si="1"/>
        <v>36132523.0580042</v>
      </c>
      <c r="Z26" s="11"/>
    </row>
    <row r="27" spans="1:26" ht="38.1" customHeight="1" x14ac:dyDescent="0.25">
      <c r="A27" s="7">
        <f t="shared" si="4"/>
        <v>18</v>
      </c>
      <c r="B27" s="8" t="s">
        <v>36</v>
      </c>
      <c r="C27" s="8" t="s">
        <v>253</v>
      </c>
      <c r="D27" s="9">
        <f t="shared" si="5"/>
        <v>0</v>
      </c>
      <c r="E27" s="9"/>
      <c r="F27" s="9"/>
      <c r="G27" s="9">
        <f t="shared" si="0"/>
        <v>0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>
        <f t="shared" si="3"/>
        <v>0</v>
      </c>
      <c r="S27" s="9"/>
      <c r="T27" s="9"/>
      <c r="U27" s="9">
        <f>118985870+17557117.3</f>
        <v>136542987.30000001</v>
      </c>
      <c r="V27" s="9"/>
      <c r="W27" s="9"/>
      <c r="X27" s="9"/>
      <c r="Y27" s="10">
        <f t="shared" si="1"/>
        <v>136542987.30000001</v>
      </c>
      <c r="Z27" s="11"/>
    </row>
    <row r="28" spans="1:26" ht="38.1" customHeight="1" x14ac:dyDescent="0.25">
      <c r="A28" s="7">
        <f>A27+1</f>
        <v>19</v>
      </c>
      <c r="B28" s="8" t="s">
        <v>37</v>
      </c>
      <c r="C28" s="8" t="s">
        <v>252</v>
      </c>
      <c r="D28" s="9">
        <f t="shared" si="5"/>
        <v>99174930.540000007</v>
      </c>
      <c r="E28" s="9">
        <f>94784352.73+200565</f>
        <v>94984917.730000004</v>
      </c>
      <c r="F28" s="9">
        <v>4190012.81</v>
      </c>
      <c r="G28" s="9">
        <f t="shared" si="0"/>
        <v>3236352</v>
      </c>
      <c r="H28" s="9"/>
      <c r="I28" s="9"/>
      <c r="J28" s="9"/>
      <c r="K28" s="9"/>
      <c r="L28" s="9"/>
      <c r="M28" s="9"/>
      <c r="N28" s="9"/>
      <c r="O28" s="9"/>
      <c r="P28" s="9">
        <v>3236352</v>
      </c>
      <c r="Q28" s="9"/>
      <c r="R28" s="9">
        <f t="shared" si="3"/>
        <v>15266521.91</v>
      </c>
      <c r="S28" s="9">
        <v>15266521.91</v>
      </c>
      <c r="T28" s="9"/>
      <c r="U28" s="9"/>
      <c r="V28" s="9"/>
      <c r="W28" s="9"/>
      <c r="X28" s="9"/>
      <c r="Y28" s="10">
        <f t="shared" si="1"/>
        <v>117677804.45</v>
      </c>
      <c r="Z28" s="11"/>
    </row>
    <row r="29" spans="1:26" ht="38.1" customHeight="1" x14ac:dyDescent="0.25">
      <c r="A29" s="7">
        <f t="shared" si="4"/>
        <v>20</v>
      </c>
      <c r="B29" s="8" t="s">
        <v>38</v>
      </c>
      <c r="C29" s="8" t="s">
        <v>251</v>
      </c>
      <c r="D29" s="9">
        <f t="shared" si="5"/>
        <v>377156973.93437701</v>
      </c>
      <c r="E29" s="9">
        <f>351521192.662377+2294072</f>
        <v>353815264.662377</v>
      </c>
      <c r="F29" s="9">
        <v>23341709.272000004</v>
      </c>
      <c r="G29" s="9">
        <f t="shared" si="0"/>
        <v>150647200.26157409</v>
      </c>
      <c r="H29" s="9">
        <f>SUM(I29:M29)</f>
        <v>87497824.620000005</v>
      </c>
      <c r="I29" s="9">
        <v>34688437.228606552</v>
      </c>
      <c r="J29" s="9">
        <v>1204966.8213934451</v>
      </c>
      <c r="K29" s="9">
        <v>21482868.422399998</v>
      </c>
      <c r="L29" s="9">
        <v>309000.15760000091</v>
      </c>
      <c r="M29" s="9">
        <v>29812551.990000002</v>
      </c>
      <c r="N29" s="9">
        <v>35126116.621574074</v>
      </c>
      <c r="O29" s="9">
        <v>1174560</v>
      </c>
      <c r="P29" s="9">
        <f>18111313.92+607861.8+2528400</f>
        <v>21247575.720000003</v>
      </c>
      <c r="Q29" s="9">
        <f>5415193+134144.4+38719.4+13066.5</f>
        <v>5601123.3000000007</v>
      </c>
      <c r="R29" s="9">
        <f t="shared" si="3"/>
        <v>27151804.949999999</v>
      </c>
      <c r="S29" s="9">
        <v>5088983.6399999997</v>
      </c>
      <c r="T29" s="9">
        <v>22062821.309999999</v>
      </c>
      <c r="U29" s="9"/>
      <c r="V29" s="9"/>
      <c r="W29" s="9"/>
      <c r="X29" s="9"/>
      <c r="Y29" s="10">
        <f t="shared" si="1"/>
        <v>554955979.14595103</v>
      </c>
      <c r="Z29" s="11"/>
    </row>
    <row r="30" spans="1:26" ht="38.1" customHeight="1" x14ac:dyDescent="0.25">
      <c r="A30" s="7">
        <f t="shared" si="4"/>
        <v>21</v>
      </c>
      <c r="B30" s="8" t="s">
        <v>39</v>
      </c>
      <c r="C30" s="8" t="s">
        <v>250</v>
      </c>
      <c r="D30" s="9">
        <f t="shared" si="5"/>
        <v>255179256.149753</v>
      </c>
      <c r="E30" s="9">
        <f>260852816.149753-5673560</f>
        <v>255179256.149753</v>
      </c>
      <c r="F30" s="9"/>
      <c r="G30" s="9">
        <f t="shared" si="0"/>
        <v>4926181.93</v>
      </c>
      <c r="H30" s="9">
        <f>SUM(I30:K30)</f>
        <v>0</v>
      </c>
      <c r="I30" s="9"/>
      <c r="J30" s="9"/>
      <c r="K30" s="9"/>
      <c r="L30" s="9"/>
      <c r="M30" s="9"/>
      <c r="N30" s="9"/>
      <c r="O30" s="9"/>
      <c r="P30" s="9">
        <f>2696960-283855.04</f>
        <v>2413104.96</v>
      </c>
      <c r="Q30" s="9">
        <f>2846508-255992.23-77438.8</f>
        <v>2513076.9700000002</v>
      </c>
      <c r="R30" s="9">
        <f t="shared" si="3"/>
        <v>13944515.77</v>
      </c>
      <c r="S30" s="9">
        <f>15030157.77-1085642</f>
        <v>13944515.77</v>
      </c>
      <c r="T30" s="9"/>
      <c r="U30" s="9"/>
      <c r="V30" s="9"/>
      <c r="W30" s="9"/>
      <c r="X30" s="9"/>
      <c r="Y30" s="10">
        <f t="shared" si="1"/>
        <v>274049953.84975302</v>
      </c>
      <c r="Z30" s="11"/>
    </row>
    <row r="31" spans="1:26" ht="58.15" customHeight="1" x14ac:dyDescent="0.25">
      <c r="A31" s="7">
        <f t="shared" si="4"/>
        <v>22</v>
      </c>
      <c r="B31" s="8" t="s">
        <v>40</v>
      </c>
      <c r="C31" s="8" t="s">
        <v>248</v>
      </c>
      <c r="D31" s="9">
        <f t="shared" si="5"/>
        <v>53321433.020000003</v>
      </c>
      <c r="E31" s="9">
        <f>46289715.02+7031718</f>
        <v>53321433.020000003</v>
      </c>
      <c r="F31" s="9"/>
      <c r="G31" s="9">
        <f t="shared" si="0"/>
        <v>92023381.379999995</v>
      </c>
      <c r="H31" s="9">
        <f>SUM(I31:M31)</f>
        <v>40980404.640000001</v>
      </c>
      <c r="I31" s="9">
        <v>17479877.998757996</v>
      </c>
      <c r="J31" s="9">
        <v>496796.52124200761</v>
      </c>
      <c r="K31" s="9">
        <v>9585307.4859999996</v>
      </c>
      <c r="L31" s="9">
        <v>183827.82400000014</v>
      </c>
      <c r="M31" s="9">
        <v>13234594.809999999</v>
      </c>
      <c r="N31" s="9">
        <v>792938.3</v>
      </c>
      <c r="O31" s="9">
        <f>16764203+2600000</f>
        <v>19364203</v>
      </c>
      <c r="P31" s="9">
        <v>27447208.039999995</v>
      </c>
      <c r="Q31" s="9">
        <f>2950327.4+488300</f>
        <v>3438627.4</v>
      </c>
      <c r="R31" s="9">
        <f t="shared" si="3"/>
        <v>6635494.29</v>
      </c>
      <c r="S31" s="9">
        <v>3238244.1</v>
      </c>
      <c r="T31" s="9">
        <v>3397250.19</v>
      </c>
      <c r="U31" s="9"/>
      <c r="V31" s="9"/>
      <c r="W31" s="9"/>
      <c r="X31" s="9"/>
      <c r="Y31" s="10">
        <f t="shared" si="1"/>
        <v>151980308.69</v>
      </c>
      <c r="Z31" s="11"/>
    </row>
    <row r="32" spans="1:26" ht="38.1" customHeight="1" x14ac:dyDescent="0.25">
      <c r="A32" s="7">
        <f t="shared" si="4"/>
        <v>23</v>
      </c>
      <c r="B32" s="8" t="s">
        <v>41</v>
      </c>
      <c r="C32" s="8" t="s">
        <v>249</v>
      </c>
      <c r="D32" s="9">
        <f t="shared" si="5"/>
        <v>71689432.00999999</v>
      </c>
      <c r="E32" s="9">
        <f>65683493.01+6005939</f>
        <v>71689432.00999999</v>
      </c>
      <c r="F32" s="9"/>
      <c r="G32" s="9">
        <f t="shared" si="0"/>
        <v>136713022.09</v>
      </c>
      <c r="H32" s="9">
        <f>SUM(I32:M32)</f>
        <v>80136216.269999996</v>
      </c>
      <c r="I32" s="9">
        <v>32128949.127356544</v>
      </c>
      <c r="J32" s="9">
        <v>1471167.7226434574</v>
      </c>
      <c r="K32" s="9">
        <v>19322414.383999996</v>
      </c>
      <c r="L32" s="9">
        <v>483060.35600000061</v>
      </c>
      <c r="M32" s="9">
        <v>26730624.68</v>
      </c>
      <c r="N32" s="9">
        <v>1930394.62</v>
      </c>
      <c r="O32" s="9">
        <f>39522403.2+2600000</f>
        <v>42122403.200000003</v>
      </c>
      <c r="P32" s="9">
        <v>12524008</v>
      </c>
      <c r="Q32" s="9"/>
      <c r="R32" s="9">
        <f t="shared" si="3"/>
        <v>3644408.48</v>
      </c>
      <c r="S32" s="9">
        <v>3644408.48</v>
      </c>
      <c r="T32" s="9"/>
      <c r="U32" s="9"/>
      <c r="V32" s="9"/>
      <c r="W32" s="9"/>
      <c r="X32" s="9"/>
      <c r="Y32" s="10">
        <f t="shared" si="1"/>
        <v>212046862.57999998</v>
      </c>
      <c r="Z32" s="11"/>
    </row>
    <row r="33" spans="1:26" ht="38.1" customHeight="1" x14ac:dyDescent="0.25">
      <c r="A33" s="7">
        <f t="shared" si="4"/>
        <v>24</v>
      </c>
      <c r="B33" s="12" t="s">
        <v>42</v>
      </c>
      <c r="C33" s="12" t="s">
        <v>245</v>
      </c>
      <c r="D33" s="9">
        <f t="shared" si="5"/>
        <v>80466959.313350007</v>
      </c>
      <c r="E33" s="9">
        <f>82164605.31335-1697646</f>
        <v>80466959.313350007</v>
      </c>
      <c r="F33" s="9"/>
      <c r="G33" s="9">
        <f t="shared" si="0"/>
        <v>65716032.485263199</v>
      </c>
      <c r="H33" s="9"/>
      <c r="I33" s="9"/>
      <c r="J33" s="9"/>
      <c r="K33" s="9"/>
      <c r="L33" s="9"/>
      <c r="M33" s="9"/>
      <c r="N33" s="9"/>
      <c r="O33" s="9"/>
      <c r="P33" s="9">
        <f>66858511.0252632-1142478.54</f>
        <v>65716032.485263199</v>
      </c>
      <c r="Q33" s="9"/>
      <c r="R33" s="9">
        <f t="shared" si="3"/>
        <v>16937538.747499999</v>
      </c>
      <c r="S33" s="9">
        <f>12921839.4375-379041</f>
        <v>12542798.4375</v>
      </c>
      <c r="T33" s="9">
        <f>4693793.31-299053</f>
        <v>4394740.3099999996</v>
      </c>
      <c r="U33" s="9"/>
      <c r="V33" s="9"/>
      <c r="W33" s="9"/>
      <c r="X33" s="9"/>
      <c r="Y33" s="10">
        <f t="shared" si="1"/>
        <v>163120530.54611319</v>
      </c>
      <c r="Z33" s="11"/>
    </row>
    <row r="34" spans="1:26" ht="38.1" customHeight="1" x14ac:dyDescent="0.25">
      <c r="A34" s="7">
        <f t="shared" si="4"/>
        <v>25</v>
      </c>
      <c r="B34" s="8" t="s">
        <v>43</v>
      </c>
      <c r="C34" s="8" t="s">
        <v>246</v>
      </c>
      <c r="D34" s="9">
        <f t="shared" si="5"/>
        <v>43260774.155766703</v>
      </c>
      <c r="E34" s="9">
        <f>43042812.4557667+217961.7</f>
        <v>43260774.155766703</v>
      </c>
      <c r="F34" s="9"/>
      <c r="G34" s="9">
        <f t="shared" si="0"/>
        <v>29005355.6126316</v>
      </c>
      <c r="H34" s="9"/>
      <c r="I34" s="9"/>
      <c r="J34" s="9"/>
      <c r="K34" s="9"/>
      <c r="L34" s="9"/>
      <c r="M34" s="9"/>
      <c r="N34" s="9"/>
      <c r="O34" s="9"/>
      <c r="P34" s="9">
        <f>29324765.6126316-319410</f>
        <v>29005355.6126316</v>
      </c>
      <c r="Q34" s="9"/>
      <c r="R34" s="9">
        <f t="shared" si="3"/>
        <v>6243998.879999999</v>
      </c>
      <c r="S34" s="9"/>
      <c r="T34" s="9">
        <v>6243998.879999999</v>
      </c>
      <c r="U34" s="9"/>
      <c r="V34" s="9"/>
      <c r="W34" s="9"/>
      <c r="X34" s="9"/>
      <c r="Y34" s="10">
        <f t="shared" si="1"/>
        <v>78510128.64839831</v>
      </c>
      <c r="Z34" s="11"/>
    </row>
    <row r="35" spans="1:26" ht="38.1" customHeight="1" x14ac:dyDescent="0.25">
      <c r="A35" s="7">
        <f t="shared" si="4"/>
        <v>26</v>
      </c>
      <c r="B35" s="12" t="s">
        <v>44</v>
      </c>
      <c r="C35" s="12" t="s">
        <v>247</v>
      </c>
      <c r="D35" s="9">
        <f t="shared" si="5"/>
        <v>52368931.639902502</v>
      </c>
      <c r="E35" s="9">
        <f>54499143.6399025-2130212</f>
        <v>52368931.639902502</v>
      </c>
      <c r="F35" s="9"/>
      <c r="G35" s="9">
        <f t="shared" si="0"/>
        <v>22258450.87157895</v>
      </c>
      <c r="H35" s="9"/>
      <c r="I35" s="9"/>
      <c r="J35" s="9"/>
      <c r="K35" s="9"/>
      <c r="L35" s="9"/>
      <c r="M35" s="9"/>
      <c r="N35" s="9"/>
      <c r="O35" s="9"/>
      <c r="P35" s="9">
        <v>22209333.271578949</v>
      </c>
      <c r="Q35" s="9">
        <v>49117.599999999999</v>
      </c>
      <c r="R35" s="9">
        <f t="shared" si="3"/>
        <v>4739045.6999999993</v>
      </c>
      <c r="S35" s="9"/>
      <c r="T35" s="9">
        <f>4871758.35-132712.65</f>
        <v>4739045.6999999993</v>
      </c>
      <c r="U35" s="9"/>
      <c r="V35" s="9"/>
      <c r="W35" s="9"/>
      <c r="X35" s="9"/>
      <c r="Y35" s="10">
        <f t="shared" si="1"/>
        <v>79366428.211481452</v>
      </c>
      <c r="Z35" s="11"/>
    </row>
    <row r="36" spans="1:26" ht="38.1" customHeight="1" x14ac:dyDescent="0.25">
      <c r="A36" s="7">
        <f t="shared" si="4"/>
        <v>27</v>
      </c>
      <c r="B36" s="12" t="s">
        <v>45</v>
      </c>
      <c r="C36" s="12" t="s">
        <v>244</v>
      </c>
      <c r="D36" s="9">
        <f t="shared" si="5"/>
        <v>0</v>
      </c>
      <c r="E36" s="9"/>
      <c r="F36" s="9"/>
      <c r="G36" s="9">
        <f t="shared" si="0"/>
        <v>135119127.60749999</v>
      </c>
      <c r="H36" s="9">
        <f t="shared" ref="H36:H43" si="6">SUM(I36:M36)</f>
        <v>87765066.889999986</v>
      </c>
      <c r="I36" s="9">
        <v>31810475.698951103</v>
      </c>
      <c r="J36" s="9">
        <v>1339388.4110488966</v>
      </c>
      <c r="K36" s="9">
        <v>22832283.583999999</v>
      </c>
      <c r="L36" s="9">
        <v>516072.15599999879</v>
      </c>
      <c r="M36" s="9">
        <v>31266847.039999995</v>
      </c>
      <c r="N36" s="9">
        <f>38183640.7175-3700000</f>
        <v>34483640.717500001</v>
      </c>
      <c r="O36" s="9">
        <v>734100</v>
      </c>
      <c r="P36" s="9">
        <v>12136320</v>
      </c>
      <c r="Q36" s="9"/>
      <c r="R36" s="9">
        <f t="shared" si="3"/>
        <v>50900492.110999987</v>
      </c>
      <c r="S36" s="9"/>
      <c r="T36" s="9">
        <v>50900492.110999987</v>
      </c>
      <c r="U36" s="9"/>
      <c r="V36" s="9"/>
      <c r="W36" s="9"/>
      <c r="X36" s="9"/>
      <c r="Y36" s="10">
        <f t="shared" si="1"/>
        <v>186019619.71849996</v>
      </c>
      <c r="Z36" s="11"/>
    </row>
    <row r="37" spans="1:26" ht="38.1" customHeight="1" x14ac:dyDescent="0.25">
      <c r="A37" s="7">
        <f t="shared" si="4"/>
        <v>28</v>
      </c>
      <c r="B37" s="12" t="s">
        <v>46</v>
      </c>
      <c r="C37" s="12" t="s">
        <v>243</v>
      </c>
      <c r="D37" s="9">
        <f t="shared" si="5"/>
        <v>0</v>
      </c>
      <c r="E37" s="9"/>
      <c r="F37" s="9"/>
      <c r="G37" s="9">
        <f t="shared" si="0"/>
        <v>70602983.512962997</v>
      </c>
      <c r="H37" s="9">
        <f t="shared" si="6"/>
        <v>38225701.160000004</v>
      </c>
      <c r="I37" s="9">
        <v>15225086.374114679</v>
      </c>
      <c r="J37" s="9">
        <v>657082.71588532068</v>
      </c>
      <c r="K37" s="9">
        <v>9346701</v>
      </c>
      <c r="L37" s="9">
        <v>211261.06000000055</v>
      </c>
      <c r="M37" s="9">
        <v>12785570.01</v>
      </c>
      <c r="N37" s="9">
        <f>22081728.432963+65000</f>
        <v>22146728.432962999</v>
      </c>
      <c r="O37" s="9">
        <v>1409472</v>
      </c>
      <c r="P37" s="9">
        <f>8750286.72+70795.2</f>
        <v>8821081.9199999999</v>
      </c>
      <c r="Q37" s="9"/>
      <c r="R37" s="9">
        <f t="shared" si="3"/>
        <v>24624355.423499998</v>
      </c>
      <c r="S37" s="9"/>
      <c r="T37" s="9">
        <v>24624355.423499998</v>
      </c>
      <c r="U37" s="9"/>
      <c r="V37" s="9"/>
      <c r="W37" s="9"/>
      <c r="X37" s="9"/>
      <c r="Y37" s="10">
        <f t="shared" si="1"/>
        <v>95227338.936462998</v>
      </c>
      <c r="Z37" s="11"/>
    </row>
    <row r="38" spans="1:26" ht="38.1" customHeight="1" x14ac:dyDescent="0.25">
      <c r="A38" s="7">
        <f t="shared" si="4"/>
        <v>29</v>
      </c>
      <c r="B38" s="8" t="s">
        <v>47</v>
      </c>
      <c r="C38" s="12">
        <v>2101006</v>
      </c>
      <c r="D38" s="9">
        <f t="shared" si="5"/>
        <v>12156602.93</v>
      </c>
      <c r="E38" s="9">
        <f>11764361.93+392241</f>
        <v>12156602.93</v>
      </c>
      <c r="F38" s="9"/>
      <c r="G38" s="9">
        <f t="shared" si="0"/>
        <v>147632117.86592591</v>
      </c>
      <c r="H38" s="9">
        <f t="shared" si="6"/>
        <v>61401892.620000005</v>
      </c>
      <c r="I38" s="9">
        <v>23444234.160899993</v>
      </c>
      <c r="J38" s="9">
        <v>1233907.0391000099</v>
      </c>
      <c r="K38" s="9">
        <v>15250716.335199999</v>
      </c>
      <c r="L38" s="9">
        <v>417827.84480000002</v>
      </c>
      <c r="M38" s="9">
        <v>21055207.240000002</v>
      </c>
      <c r="N38" s="9">
        <f>30739108.1559259+1300000</f>
        <v>32039108.1559259</v>
      </c>
      <c r="O38" s="9">
        <v>2642760</v>
      </c>
      <c r="P38" s="9">
        <v>15630878.48</v>
      </c>
      <c r="Q38" s="9">
        <f>35636754.01+280724.6</f>
        <v>35917478.609999999</v>
      </c>
      <c r="R38" s="9">
        <f t="shared" si="3"/>
        <v>29789220.510000002</v>
      </c>
      <c r="S38" s="9"/>
      <c r="T38" s="9">
        <v>29789220.510000002</v>
      </c>
      <c r="U38" s="9"/>
      <c r="V38" s="9"/>
      <c r="W38" s="9"/>
      <c r="X38" s="9"/>
      <c r="Y38" s="10">
        <f t="shared" si="1"/>
        <v>189577941.30592591</v>
      </c>
      <c r="Z38" s="11"/>
    </row>
    <row r="39" spans="1:26" ht="38.1" customHeight="1" x14ac:dyDescent="0.25">
      <c r="A39" s="7">
        <f t="shared" si="4"/>
        <v>30</v>
      </c>
      <c r="B39" s="12" t="s">
        <v>48</v>
      </c>
      <c r="C39" s="12" t="s">
        <v>238</v>
      </c>
      <c r="D39" s="9">
        <f t="shared" si="5"/>
        <v>0</v>
      </c>
      <c r="E39" s="9"/>
      <c r="F39" s="9"/>
      <c r="G39" s="9">
        <f t="shared" si="0"/>
        <v>122391301.6653704</v>
      </c>
      <c r="H39" s="9">
        <f t="shared" si="6"/>
        <v>84419746.600000009</v>
      </c>
      <c r="I39" s="9">
        <v>32469017.472359996</v>
      </c>
      <c r="J39" s="9">
        <v>1281671.7176400088</v>
      </c>
      <c r="K39" s="9">
        <v>21134151.597999997</v>
      </c>
      <c r="L39" s="9">
        <v>528353.79200000037</v>
      </c>
      <c r="M39" s="9">
        <v>29006552.02</v>
      </c>
      <c r="N39" s="9">
        <f>15246335.1053704+1100000</f>
        <v>16346335.1053704</v>
      </c>
      <c r="O39" s="9">
        <v>9890747</v>
      </c>
      <c r="P39" s="9">
        <v>11734472.960000001</v>
      </c>
      <c r="Q39" s="9"/>
      <c r="R39" s="9">
        <f t="shared" si="3"/>
        <v>21002088.539999999</v>
      </c>
      <c r="S39" s="9"/>
      <c r="T39" s="9">
        <f>20871313.54+130775</f>
        <v>21002088.539999999</v>
      </c>
      <c r="U39" s="9"/>
      <c r="V39" s="9"/>
      <c r="W39" s="9"/>
      <c r="X39" s="9"/>
      <c r="Y39" s="10">
        <f t="shared" si="1"/>
        <v>143393390.2053704</v>
      </c>
      <c r="Z39" s="11"/>
    </row>
    <row r="40" spans="1:26" ht="38.1" customHeight="1" x14ac:dyDescent="0.25">
      <c r="A40" s="7">
        <f t="shared" si="4"/>
        <v>31</v>
      </c>
      <c r="B40" s="12" t="s">
        <v>49</v>
      </c>
      <c r="C40" s="12" t="s">
        <v>239</v>
      </c>
      <c r="D40" s="9">
        <f t="shared" si="5"/>
        <v>0</v>
      </c>
      <c r="E40" s="9"/>
      <c r="F40" s="9"/>
      <c r="G40" s="9">
        <f t="shared" si="0"/>
        <v>87324370.737499982</v>
      </c>
      <c r="H40" s="9">
        <f t="shared" si="6"/>
        <v>56052593.039999992</v>
      </c>
      <c r="I40" s="9">
        <v>22253186.898071222</v>
      </c>
      <c r="J40" s="9">
        <v>1171220.3519287743</v>
      </c>
      <c r="K40" s="9">
        <v>13621973.769200001</v>
      </c>
      <c r="L40" s="9">
        <v>326554.17079999833</v>
      </c>
      <c r="M40" s="9">
        <v>18679657.849999998</v>
      </c>
      <c r="N40" s="9">
        <v>11320653.8575</v>
      </c>
      <c r="O40" s="9">
        <f>11131425.6+745000</f>
        <v>11876425.6</v>
      </c>
      <c r="P40" s="9">
        <v>8074698.2400000002</v>
      </c>
      <c r="Q40" s="9"/>
      <c r="R40" s="9">
        <f t="shared" si="3"/>
        <v>15094092.33</v>
      </c>
      <c r="S40" s="9"/>
      <c r="T40" s="9">
        <v>15094092.33</v>
      </c>
      <c r="U40" s="9"/>
      <c r="V40" s="9"/>
      <c r="W40" s="9"/>
      <c r="X40" s="9"/>
      <c r="Y40" s="10">
        <f t="shared" si="1"/>
        <v>102418463.06749998</v>
      </c>
      <c r="Z40" s="11"/>
    </row>
    <row r="41" spans="1:26" ht="38.1" customHeight="1" x14ac:dyDescent="0.25">
      <c r="A41" s="7">
        <f t="shared" si="4"/>
        <v>32</v>
      </c>
      <c r="B41" s="12" t="s">
        <v>50</v>
      </c>
      <c r="C41" s="12" t="s">
        <v>240</v>
      </c>
      <c r="D41" s="9">
        <f t="shared" si="5"/>
        <v>0</v>
      </c>
      <c r="E41" s="9"/>
      <c r="F41" s="9"/>
      <c r="G41" s="9">
        <f t="shared" si="0"/>
        <v>272447184.07342595</v>
      </c>
      <c r="H41" s="9">
        <f t="shared" si="6"/>
        <v>172248995.15000001</v>
      </c>
      <c r="I41" s="9">
        <v>67192963.277291596</v>
      </c>
      <c r="J41" s="9">
        <v>2546259.6527084112</v>
      </c>
      <c r="K41" s="9">
        <v>42714856.810399994</v>
      </c>
      <c r="L41" s="9">
        <v>716790.39960000338</v>
      </c>
      <c r="M41" s="9">
        <v>59078125.010000005</v>
      </c>
      <c r="N41" s="9">
        <v>55359585.723425925</v>
      </c>
      <c r="O41" s="9">
        <v>8809200</v>
      </c>
      <c r="P41" s="9">
        <f>38709860-2757641.6</f>
        <v>35952218.399999999</v>
      </c>
      <c r="Q41" s="9">
        <v>77184.799999999988</v>
      </c>
      <c r="R41" s="9">
        <f t="shared" si="3"/>
        <v>42055518.963499993</v>
      </c>
      <c r="S41" s="9"/>
      <c r="T41" s="9">
        <v>42055518.963499993</v>
      </c>
      <c r="U41" s="9"/>
      <c r="V41" s="9"/>
      <c r="W41" s="9"/>
      <c r="X41" s="9"/>
      <c r="Y41" s="10">
        <f t="shared" si="1"/>
        <v>314502703.03692591</v>
      </c>
      <c r="Z41" s="11"/>
    </row>
    <row r="42" spans="1:26" ht="38.1" customHeight="1" x14ac:dyDescent="0.25">
      <c r="A42" s="7">
        <f t="shared" si="4"/>
        <v>33</v>
      </c>
      <c r="B42" s="12" t="s">
        <v>51</v>
      </c>
      <c r="C42" s="12" t="s">
        <v>241</v>
      </c>
      <c r="D42" s="9">
        <f t="shared" si="5"/>
        <v>0</v>
      </c>
      <c r="E42" s="9"/>
      <c r="F42" s="9"/>
      <c r="G42" s="9">
        <f t="shared" si="0"/>
        <v>82424632.977962971</v>
      </c>
      <c r="H42" s="9">
        <f t="shared" si="6"/>
        <v>50998708.100000009</v>
      </c>
      <c r="I42" s="9">
        <v>20268688.083797995</v>
      </c>
      <c r="J42" s="9">
        <v>853418.45620200783</v>
      </c>
      <c r="K42" s="9">
        <v>12508091.866100002</v>
      </c>
      <c r="L42" s="9">
        <v>342921.22390000004</v>
      </c>
      <c r="M42" s="9">
        <v>17025588.470000003</v>
      </c>
      <c r="N42" s="9">
        <v>12713082.077962965</v>
      </c>
      <c r="O42" s="9">
        <v>10490486</v>
      </c>
      <c r="P42" s="9">
        <v>8222356.7999999998</v>
      </c>
      <c r="Q42" s="9"/>
      <c r="R42" s="9">
        <f t="shared" si="3"/>
        <v>10255131.58</v>
      </c>
      <c r="S42" s="9"/>
      <c r="T42" s="9">
        <f>10154801.37+100330.21</f>
        <v>10255131.58</v>
      </c>
      <c r="U42" s="9"/>
      <c r="V42" s="9"/>
      <c r="W42" s="9"/>
      <c r="X42" s="9"/>
      <c r="Y42" s="10">
        <f t="shared" si="1"/>
        <v>92679764.557962969</v>
      </c>
      <c r="Z42" s="11"/>
    </row>
    <row r="43" spans="1:26" ht="38.1" customHeight="1" x14ac:dyDescent="0.25">
      <c r="A43" s="7">
        <f t="shared" si="4"/>
        <v>34</v>
      </c>
      <c r="B43" s="8" t="s">
        <v>52</v>
      </c>
      <c r="C43" s="8" t="s">
        <v>242</v>
      </c>
      <c r="D43" s="9">
        <f t="shared" si="5"/>
        <v>0</v>
      </c>
      <c r="E43" s="9"/>
      <c r="F43" s="9"/>
      <c r="G43" s="9">
        <f t="shared" si="0"/>
        <v>96635828.597963005</v>
      </c>
      <c r="H43" s="9">
        <f t="shared" si="6"/>
        <v>61453654.630000003</v>
      </c>
      <c r="I43" s="9">
        <v>23248971.54262368</v>
      </c>
      <c r="J43" s="9">
        <v>709705.46737632155</v>
      </c>
      <c r="K43" s="9">
        <v>14924277.2128</v>
      </c>
      <c r="L43" s="9">
        <v>373106.93719999993</v>
      </c>
      <c r="M43" s="9">
        <v>22197593.469999999</v>
      </c>
      <c r="N43" s="9">
        <f>26810045.967963-1300000</f>
        <v>25510045.967962999</v>
      </c>
      <c r="O43" s="9">
        <v>704736</v>
      </c>
      <c r="P43" s="9">
        <v>8967392</v>
      </c>
      <c r="Q43" s="9"/>
      <c r="R43" s="9">
        <f t="shared" si="3"/>
        <v>22511470.341499999</v>
      </c>
      <c r="S43" s="9"/>
      <c r="T43" s="9">
        <v>22511470.341499999</v>
      </c>
      <c r="U43" s="9"/>
      <c r="V43" s="9"/>
      <c r="W43" s="9"/>
      <c r="X43" s="9"/>
      <c r="Y43" s="10">
        <f t="shared" si="1"/>
        <v>119147298.939463</v>
      </c>
      <c r="Z43" s="11"/>
    </row>
    <row r="44" spans="1:26" ht="38.1" customHeight="1" x14ac:dyDescent="0.25">
      <c r="A44" s="7">
        <f t="shared" si="4"/>
        <v>35</v>
      </c>
      <c r="B44" s="12" t="s">
        <v>53</v>
      </c>
      <c r="C44" s="12" t="s">
        <v>235</v>
      </c>
      <c r="D44" s="9">
        <f t="shared" si="5"/>
        <v>0</v>
      </c>
      <c r="E44" s="9"/>
      <c r="F44" s="9"/>
      <c r="G44" s="9">
        <f t="shared" si="0"/>
        <v>67875972</v>
      </c>
      <c r="H44" s="9"/>
      <c r="I44" s="9"/>
      <c r="J44" s="9"/>
      <c r="K44" s="9"/>
      <c r="L44" s="9"/>
      <c r="M44" s="9"/>
      <c r="N44" s="9"/>
      <c r="O44" s="9"/>
      <c r="P44" s="9">
        <v>67875972</v>
      </c>
      <c r="Q44" s="9"/>
      <c r="R44" s="9">
        <f t="shared" si="3"/>
        <v>0</v>
      </c>
      <c r="S44" s="9"/>
      <c r="T44" s="9"/>
      <c r="U44" s="9"/>
      <c r="V44" s="9"/>
      <c r="W44" s="9"/>
      <c r="X44" s="9"/>
      <c r="Y44" s="10">
        <f t="shared" si="1"/>
        <v>67875972</v>
      </c>
      <c r="Z44" s="11"/>
    </row>
    <row r="45" spans="1:26" ht="38.1" customHeight="1" x14ac:dyDescent="0.25">
      <c r="A45" s="7">
        <f t="shared" si="4"/>
        <v>36</v>
      </c>
      <c r="B45" s="12" t="s">
        <v>54</v>
      </c>
      <c r="C45" s="12" t="s">
        <v>236</v>
      </c>
      <c r="D45" s="9">
        <f t="shared" si="5"/>
        <v>0</v>
      </c>
      <c r="E45" s="9"/>
      <c r="F45" s="9"/>
      <c r="G45" s="9">
        <f t="shared" si="0"/>
        <v>50446826.18</v>
      </c>
      <c r="H45" s="9"/>
      <c r="I45" s="9"/>
      <c r="J45" s="9"/>
      <c r="K45" s="9"/>
      <c r="L45" s="9"/>
      <c r="M45" s="9"/>
      <c r="N45" s="9"/>
      <c r="O45" s="9"/>
      <c r="P45" s="9">
        <f>50975600-528773.82</f>
        <v>50446826.18</v>
      </c>
      <c r="Q45" s="9"/>
      <c r="R45" s="9">
        <f t="shared" si="3"/>
        <v>0</v>
      </c>
      <c r="S45" s="9"/>
      <c r="T45" s="9"/>
      <c r="U45" s="9"/>
      <c r="V45" s="9"/>
      <c r="W45" s="9"/>
      <c r="X45" s="9"/>
      <c r="Y45" s="10">
        <f t="shared" si="1"/>
        <v>50446826.18</v>
      </c>
      <c r="Z45" s="11"/>
    </row>
    <row r="46" spans="1:26" ht="38.1" customHeight="1" x14ac:dyDescent="0.25">
      <c r="A46" s="7">
        <f t="shared" si="4"/>
        <v>37</v>
      </c>
      <c r="B46" s="8" t="s">
        <v>55</v>
      </c>
      <c r="C46" s="8" t="s">
        <v>237</v>
      </c>
      <c r="D46" s="9">
        <f t="shared" si="5"/>
        <v>0</v>
      </c>
      <c r="E46" s="9"/>
      <c r="F46" s="9"/>
      <c r="G46" s="9">
        <f t="shared" si="0"/>
        <v>54736030.799999997</v>
      </c>
      <c r="H46" s="9"/>
      <c r="I46" s="9"/>
      <c r="J46" s="9"/>
      <c r="K46" s="9"/>
      <c r="L46" s="9"/>
      <c r="M46" s="9"/>
      <c r="N46" s="9"/>
      <c r="O46" s="9"/>
      <c r="P46" s="9">
        <v>54736030.799999997</v>
      </c>
      <c r="Q46" s="9"/>
      <c r="R46" s="9">
        <f t="shared" si="3"/>
        <v>0</v>
      </c>
      <c r="S46" s="9"/>
      <c r="T46" s="9"/>
      <c r="U46" s="9"/>
      <c r="V46" s="9"/>
      <c r="W46" s="9"/>
      <c r="X46" s="9"/>
      <c r="Y46" s="10">
        <f t="shared" si="1"/>
        <v>54736030.799999997</v>
      </c>
      <c r="Z46" s="11"/>
    </row>
    <row r="47" spans="1:26" ht="38.1" customHeight="1" x14ac:dyDescent="0.25">
      <c r="A47" s="7">
        <f t="shared" si="4"/>
        <v>38</v>
      </c>
      <c r="B47" s="8" t="s">
        <v>56</v>
      </c>
      <c r="C47" s="8" t="s">
        <v>232</v>
      </c>
      <c r="D47" s="9">
        <f t="shared" si="5"/>
        <v>0</v>
      </c>
      <c r="E47" s="9"/>
      <c r="F47" s="9"/>
      <c r="G47" s="9">
        <f t="shared" si="0"/>
        <v>115119331.64</v>
      </c>
      <c r="H47" s="9">
        <f>SUM(I47:M47)</f>
        <v>73640060.659999996</v>
      </c>
      <c r="I47" s="9">
        <v>27701734.353115089</v>
      </c>
      <c r="J47" s="9">
        <v>1457986.0468849093</v>
      </c>
      <c r="K47" s="9">
        <v>18186996.970399998</v>
      </c>
      <c r="L47" s="9">
        <v>498273.88960000005</v>
      </c>
      <c r="M47" s="9">
        <v>25795069.400000002</v>
      </c>
      <c r="N47" s="9">
        <v>951526</v>
      </c>
      <c r="O47" s="9">
        <f>27146035.38+3400000</f>
        <v>30546035.379999999</v>
      </c>
      <c r="P47" s="9">
        <v>9344966.4000000004</v>
      </c>
      <c r="Q47" s="9">
        <v>636743.20000000007</v>
      </c>
      <c r="R47" s="9">
        <f t="shared" si="3"/>
        <v>9829316.3220000006</v>
      </c>
      <c r="S47" s="9"/>
      <c r="T47" s="9">
        <v>9829316.3220000006</v>
      </c>
      <c r="U47" s="9"/>
      <c r="V47" s="9"/>
      <c r="W47" s="9"/>
      <c r="X47" s="9"/>
      <c r="Y47" s="10">
        <f t="shared" si="1"/>
        <v>124948647.962</v>
      </c>
      <c r="Z47" s="11"/>
    </row>
    <row r="48" spans="1:26" ht="38.1" customHeight="1" x14ac:dyDescent="0.25">
      <c r="A48" s="7">
        <f t="shared" si="4"/>
        <v>39</v>
      </c>
      <c r="B48" s="8" t="s">
        <v>57</v>
      </c>
      <c r="C48" s="8" t="s">
        <v>233</v>
      </c>
      <c r="D48" s="9">
        <f t="shared" si="5"/>
        <v>0</v>
      </c>
      <c r="E48" s="9"/>
      <c r="F48" s="9"/>
      <c r="G48" s="9">
        <f t="shared" si="0"/>
        <v>88557733.640000001</v>
      </c>
      <c r="H48" s="9">
        <f>SUM(I48:M48)</f>
        <v>37843166.479999997</v>
      </c>
      <c r="I48" s="9">
        <v>18252023.825584494</v>
      </c>
      <c r="J48" s="9">
        <v>787718.86441550404</v>
      </c>
      <c r="K48" s="9">
        <v>7801786.4072000012</v>
      </c>
      <c r="L48" s="9">
        <v>176341.75279999879</v>
      </c>
      <c r="M48" s="9">
        <v>10825295.629999999</v>
      </c>
      <c r="N48" s="9">
        <f>847623.7+60153.94</f>
        <v>907777.6399999999</v>
      </c>
      <c r="O48" s="9">
        <f>27584898+6800000</f>
        <v>34384898</v>
      </c>
      <c r="P48" s="9">
        <v>15421891.52</v>
      </c>
      <c r="Q48" s="9"/>
      <c r="R48" s="9">
        <f t="shared" si="3"/>
        <v>21599503.309999999</v>
      </c>
      <c r="S48" s="9"/>
      <c r="T48" s="9">
        <v>21599503.309999999</v>
      </c>
      <c r="U48" s="9"/>
      <c r="V48" s="9"/>
      <c r="W48" s="9"/>
      <c r="X48" s="9"/>
      <c r="Y48" s="10">
        <f t="shared" si="1"/>
        <v>110157236.95</v>
      </c>
      <c r="Z48" s="11"/>
    </row>
    <row r="49" spans="1:27" ht="38.1" customHeight="1" x14ac:dyDescent="0.25">
      <c r="A49" s="7">
        <f t="shared" si="4"/>
        <v>40</v>
      </c>
      <c r="B49" s="8" t="s">
        <v>58</v>
      </c>
      <c r="C49" s="8" t="s">
        <v>234</v>
      </c>
      <c r="D49" s="9">
        <f t="shared" si="5"/>
        <v>0</v>
      </c>
      <c r="E49" s="9"/>
      <c r="F49" s="9"/>
      <c r="G49" s="9">
        <f t="shared" si="0"/>
        <v>85723915.5</v>
      </c>
      <c r="H49" s="9">
        <f>SUM(I49:M49)</f>
        <v>48188998.799999997</v>
      </c>
      <c r="I49" s="9">
        <v>19239962.085218068</v>
      </c>
      <c r="J49" s="9">
        <v>1012629.5647819303</v>
      </c>
      <c r="K49" s="9">
        <v>11542639.637600001</v>
      </c>
      <c r="L49" s="9">
        <v>316236.70240000001</v>
      </c>
      <c r="M49" s="9">
        <v>16077530.810000002</v>
      </c>
      <c r="N49" s="9">
        <v>475762.98</v>
      </c>
      <c r="O49" s="9">
        <f>26903187+900000</f>
        <v>27803187</v>
      </c>
      <c r="P49" s="9">
        <v>9255966.7200000007</v>
      </c>
      <c r="Q49" s="9"/>
      <c r="R49" s="9">
        <f t="shared" si="3"/>
        <v>7451005.9299999997</v>
      </c>
      <c r="S49" s="9"/>
      <c r="T49" s="9">
        <v>7451005.9299999997</v>
      </c>
      <c r="U49" s="9"/>
      <c r="V49" s="9"/>
      <c r="W49" s="9"/>
      <c r="X49" s="9"/>
      <c r="Y49" s="10">
        <f t="shared" si="1"/>
        <v>93174921.430000007</v>
      </c>
      <c r="Z49" s="11"/>
    </row>
    <row r="50" spans="1:27" ht="38.1" customHeight="1" x14ac:dyDescent="0.25">
      <c r="A50" s="7">
        <f t="shared" si="4"/>
        <v>41</v>
      </c>
      <c r="B50" s="8" t="s">
        <v>59</v>
      </c>
      <c r="C50" s="8" t="s">
        <v>231</v>
      </c>
      <c r="D50" s="9">
        <f t="shared" si="5"/>
        <v>0</v>
      </c>
      <c r="E50" s="9"/>
      <c r="F50" s="9"/>
      <c r="G50" s="9">
        <f t="shared" si="0"/>
        <v>48221153.060000002</v>
      </c>
      <c r="H50" s="9">
        <f>SUM(I50:K50)</f>
        <v>0</v>
      </c>
      <c r="I50" s="9">
        <v>0</v>
      </c>
      <c r="J50" s="9"/>
      <c r="K50" s="9">
        <v>0</v>
      </c>
      <c r="L50" s="9"/>
      <c r="M50" s="9"/>
      <c r="N50" s="9"/>
      <c r="O50" s="9"/>
      <c r="P50" s="9">
        <f>43918224.24+4302928.82</f>
        <v>48221153.060000002</v>
      </c>
      <c r="Q50" s="9"/>
      <c r="R50" s="9">
        <f t="shared" si="3"/>
        <v>0</v>
      </c>
      <c r="S50" s="9"/>
      <c r="T50" s="9"/>
      <c r="U50" s="9"/>
      <c r="V50" s="9"/>
      <c r="W50" s="9"/>
      <c r="X50" s="9"/>
      <c r="Y50" s="10">
        <f t="shared" si="1"/>
        <v>48221153.060000002</v>
      </c>
      <c r="Z50" s="11"/>
    </row>
    <row r="51" spans="1:27" ht="38.1" customHeight="1" x14ac:dyDescent="0.25">
      <c r="A51" s="7">
        <f t="shared" si="4"/>
        <v>42</v>
      </c>
      <c r="B51" s="8" t="s">
        <v>60</v>
      </c>
      <c r="C51" s="8" t="s">
        <v>230</v>
      </c>
      <c r="D51" s="9">
        <f t="shared" si="5"/>
        <v>0</v>
      </c>
      <c r="E51" s="9"/>
      <c r="F51" s="9"/>
      <c r="G51" s="9">
        <f t="shared" si="0"/>
        <v>87003945.730000004</v>
      </c>
      <c r="H51" s="9">
        <f>SUM(I51:M51)</f>
        <v>47122322.230000004</v>
      </c>
      <c r="I51" s="9">
        <v>18184527.873653959</v>
      </c>
      <c r="J51" s="9">
        <v>957080.37634604052</v>
      </c>
      <c r="K51" s="9">
        <v>11598715.667999998</v>
      </c>
      <c r="L51" s="9">
        <v>317773.03200000001</v>
      </c>
      <c r="M51" s="9">
        <v>16064225.280000001</v>
      </c>
      <c r="N51" s="9">
        <v>1049959.68</v>
      </c>
      <c r="O51" s="9">
        <f>27957893.26+3950000</f>
        <v>31907893.260000002</v>
      </c>
      <c r="P51" s="9">
        <v>6923770.5600000005</v>
      </c>
      <c r="Q51" s="9"/>
      <c r="R51" s="9">
        <f t="shared" si="3"/>
        <v>9605406.9700000007</v>
      </c>
      <c r="S51" s="9"/>
      <c r="T51" s="9">
        <v>9605406.9700000007</v>
      </c>
      <c r="U51" s="9"/>
      <c r="V51" s="9"/>
      <c r="W51" s="9"/>
      <c r="X51" s="9"/>
      <c r="Y51" s="10">
        <f t="shared" si="1"/>
        <v>96609352.700000003</v>
      </c>
      <c r="Z51" s="11"/>
    </row>
    <row r="52" spans="1:27" ht="54.75" customHeight="1" x14ac:dyDescent="0.25">
      <c r="A52" s="7">
        <f t="shared" si="4"/>
        <v>43</v>
      </c>
      <c r="B52" s="8" t="s">
        <v>61</v>
      </c>
      <c r="C52" s="8" t="s">
        <v>229</v>
      </c>
      <c r="D52" s="9">
        <f t="shared" si="5"/>
        <v>198740248.148242</v>
      </c>
      <c r="E52" s="9">
        <f>127096858.073442+930012</f>
        <v>128026870.073442</v>
      </c>
      <c r="F52" s="9">
        <v>70713378.074800014</v>
      </c>
      <c r="G52" s="9">
        <f t="shared" si="0"/>
        <v>28561652.491481479</v>
      </c>
      <c r="H52" s="9">
        <f>SUM(I52:M52)</f>
        <v>9724912.7599999998</v>
      </c>
      <c r="I52" s="9">
        <v>770415.65369999991</v>
      </c>
      <c r="J52" s="9">
        <v>8109.6763000001665</v>
      </c>
      <c r="K52" s="9">
        <v>492523.69999999995</v>
      </c>
      <c r="L52" s="9">
        <v>0</v>
      </c>
      <c r="M52" s="9">
        <v>8453863.7300000004</v>
      </c>
      <c r="N52" s="9">
        <v>6050922.2614814807</v>
      </c>
      <c r="O52" s="9">
        <v>5598120.2799999993</v>
      </c>
      <c r="P52" s="9">
        <v>5767278.6400000006</v>
      </c>
      <c r="Q52" s="9">
        <v>1420418.55</v>
      </c>
      <c r="R52" s="9">
        <f t="shared" si="3"/>
        <v>9602749.9441999979</v>
      </c>
      <c r="S52" s="9">
        <v>3576433.0286999997</v>
      </c>
      <c r="T52" s="9">
        <v>6026316.9154999992</v>
      </c>
      <c r="U52" s="9">
        <f>20714200-629650</f>
        <v>20084550</v>
      </c>
      <c r="V52" s="9"/>
      <c r="W52" s="9"/>
      <c r="X52" s="9"/>
      <c r="Y52" s="10">
        <f t="shared" si="1"/>
        <v>256989200.58392346</v>
      </c>
      <c r="Z52" s="11"/>
      <c r="AA52" s="14"/>
    </row>
    <row r="53" spans="1:27" ht="46.5" customHeight="1" x14ac:dyDescent="0.25">
      <c r="A53" s="7">
        <f t="shared" si="4"/>
        <v>44</v>
      </c>
      <c r="B53" s="8" t="s">
        <v>260</v>
      </c>
      <c r="C53" s="8" t="s">
        <v>228</v>
      </c>
      <c r="D53" s="9">
        <f t="shared" si="5"/>
        <v>0</v>
      </c>
      <c r="E53" s="9"/>
      <c r="F53" s="9"/>
      <c r="G53" s="9">
        <f t="shared" si="0"/>
        <v>4330311.3196296301</v>
      </c>
      <c r="H53" s="9">
        <f>SUM(I53:M53)</f>
        <v>2384998.7300000004</v>
      </c>
      <c r="I53" s="9">
        <v>960229.10529699991</v>
      </c>
      <c r="J53" s="9">
        <v>29312.22470300016</v>
      </c>
      <c r="K53" s="9">
        <v>584474.5</v>
      </c>
      <c r="L53" s="9">
        <v>11209.110000000046</v>
      </c>
      <c r="M53" s="9">
        <v>799773.79</v>
      </c>
      <c r="N53" s="9">
        <v>1377421.2296296295</v>
      </c>
      <c r="O53" s="9">
        <v>440460</v>
      </c>
      <c r="P53" s="9">
        <f>572429.76-444998.4</f>
        <v>127431.35999999999</v>
      </c>
      <c r="Q53" s="9"/>
      <c r="R53" s="9">
        <f t="shared" si="3"/>
        <v>3532592.19</v>
      </c>
      <c r="S53" s="9"/>
      <c r="T53" s="9">
        <v>3532592.19</v>
      </c>
      <c r="U53" s="9"/>
      <c r="V53" s="9"/>
      <c r="W53" s="9"/>
      <c r="X53" s="9"/>
      <c r="Y53" s="10">
        <f t="shared" si="1"/>
        <v>7862903.5096296296</v>
      </c>
      <c r="Z53" s="11"/>
    </row>
    <row r="54" spans="1:27" ht="38.1" customHeight="1" x14ac:dyDescent="0.25">
      <c r="A54" s="7">
        <f t="shared" si="4"/>
        <v>45</v>
      </c>
      <c r="B54" s="12" t="s">
        <v>62</v>
      </c>
      <c r="C54" s="12" t="s">
        <v>182</v>
      </c>
      <c r="D54" s="9">
        <f t="shared" si="5"/>
        <v>0</v>
      </c>
      <c r="E54" s="9"/>
      <c r="F54" s="9"/>
      <c r="G54" s="9">
        <f t="shared" si="0"/>
        <v>57899996.799999997</v>
      </c>
      <c r="H54" s="9">
        <f>SUM(I54:M54)</f>
        <v>22235139.649999999</v>
      </c>
      <c r="I54" s="9">
        <v>12119368.1238</v>
      </c>
      <c r="J54" s="9">
        <v>127572.32619999908</v>
      </c>
      <c r="K54" s="9">
        <v>7440189.1999999993</v>
      </c>
      <c r="L54" s="9">
        <v>0</v>
      </c>
      <c r="M54" s="9">
        <v>2548010</v>
      </c>
      <c r="N54" s="9">
        <v>9933216.3499999996</v>
      </c>
      <c r="O54" s="9">
        <v>9685188.7200000007</v>
      </c>
      <c r="P54" s="9">
        <v>13680070.08</v>
      </c>
      <c r="Q54" s="9">
        <v>2366382</v>
      </c>
      <c r="R54" s="9">
        <f t="shared" si="3"/>
        <v>10927039.34</v>
      </c>
      <c r="S54" s="9"/>
      <c r="T54" s="9">
        <v>10927039.34</v>
      </c>
      <c r="U54" s="9"/>
      <c r="V54" s="9"/>
      <c r="W54" s="9"/>
      <c r="X54" s="9"/>
      <c r="Y54" s="10">
        <f t="shared" si="1"/>
        <v>68827036.140000001</v>
      </c>
      <c r="Z54" s="11"/>
      <c r="AA54" s="14"/>
    </row>
    <row r="55" spans="1:27" ht="38.1" customHeight="1" x14ac:dyDescent="0.25">
      <c r="A55" s="7">
        <f t="shared" si="4"/>
        <v>46</v>
      </c>
      <c r="B55" s="8" t="s">
        <v>63</v>
      </c>
      <c r="C55" s="8" t="s">
        <v>227</v>
      </c>
      <c r="D55" s="9">
        <f t="shared" si="5"/>
        <v>10826431.109999999</v>
      </c>
      <c r="E55" s="9">
        <f>10150264.11+676167</f>
        <v>10826431.109999999</v>
      </c>
      <c r="F55" s="9"/>
      <c r="G55" s="9">
        <f t="shared" si="0"/>
        <v>11096041.753148148</v>
      </c>
      <c r="H55" s="9">
        <f>SUM(I55:M55)</f>
        <v>6069120.7299999995</v>
      </c>
      <c r="I55" s="9">
        <v>2377793.4180000001</v>
      </c>
      <c r="J55" s="9">
        <v>55064.711999999825</v>
      </c>
      <c r="K55" s="9">
        <v>1520257.7623999999</v>
      </c>
      <c r="L55" s="9">
        <v>7288.8876000001655</v>
      </c>
      <c r="M55" s="9">
        <v>2108715.9499999997</v>
      </c>
      <c r="N55" s="9">
        <v>3830312.9431481482</v>
      </c>
      <c r="O55" s="9">
        <v>88092</v>
      </c>
      <c r="P55" s="9">
        <v>1108516.08</v>
      </c>
      <c r="Q55" s="9"/>
      <c r="R55" s="9">
        <f t="shared" si="3"/>
        <v>578455.56999999995</v>
      </c>
      <c r="S55" s="9">
        <v>578455.56999999995</v>
      </c>
      <c r="T55" s="9"/>
      <c r="U55" s="9"/>
      <c r="V55" s="9"/>
      <c r="W55" s="9"/>
      <c r="X55" s="9"/>
      <c r="Y55" s="10">
        <f t="shared" si="1"/>
        <v>22500928.433148146</v>
      </c>
      <c r="Z55" s="11"/>
    </row>
    <row r="56" spans="1:27" ht="38.1" customHeight="1" x14ac:dyDescent="0.25">
      <c r="A56" s="7">
        <f t="shared" si="4"/>
        <v>47</v>
      </c>
      <c r="B56" s="8" t="s">
        <v>64</v>
      </c>
      <c r="C56" s="8" t="s">
        <v>226</v>
      </c>
      <c r="D56" s="9">
        <f t="shared" si="5"/>
        <v>0</v>
      </c>
      <c r="E56" s="9"/>
      <c r="F56" s="9"/>
      <c r="G56" s="9">
        <f t="shared" si="0"/>
        <v>0</v>
      </c>
      <c r="H56" s="9"/>
      <c r="I56" s="9"/>
      <c r="J56" s="9"/>
      <c r="K56" s="9"/>
      <c r="L56" s="9"/>
      <c r="M56" s="9"/>
      <c r="N56" s="9"/>
      <c r="O56" s="9"/>
      <c r="P56" s="9"/>
      <c r="Q56" s="9"/>
      <c r="R56" s="9">
        <f t="shared" si="3"/>
        <v>0</v>
      </c>
      <c r="S56" s="9"/>
      <c r="T56" s="9"/>
      <c r="U56" s="9"/>
      <c r="V56" s="9">
        <f>W56+X56</f>
        <v>634010116.36000001</v>
      </c>
      <c r="W56" s="9">
        <v>631993697.36000001</v>
      </c>
      <c r="X56" s="9">
        <v>2016419</v>
      </c>
      <c r="Y56" s="10">
        <f t="shared" si="1"/>
        <v>634010116.36000001</v>
      </c>
      <c r="Z56" s="11"/>
    </row>
    <row r="57" spans="1:27" ht="38.1" customHeight="1" x14ac:dyDescent="0.25">
      <c r="A57" s="7">
        <f t="shared" si="4"/>
        <v>48</v>
      </c>
      <c r="B57" s="8" t="s">
        <v>65</v>
      </c>
      <c r="C57" s="8" t="s">
        <v>225</v>
      </c>
      <c r="D57" s="9">
        <f t="shared" si="5"/>
        <v>0</v>
      </c>
      <c r="E57" s="9"/>
      <c r="F57" s="9"/>
      <c r="G57" s="9">
        <f t="shared" si="0"/>
        <v>370031.6700000001</v>
      </c>
      <c r="H57" s="9"/>
      <c r="I57" s="9"/>
      <c r="J57" s="9"/>
      <c r="K57" s="9"/>
      <c r="L57" s="9"/>
      <c r="M57" s="9"/>
      <c r="N57" s="9"/>
      <c r="O57" s="9"/>
      <c r="P57" s="9">
        <f>4914-4914</f>
        <v>0</v>
      </c>
      <c r="Q57" s="9">
        <f>661002-2589.45-92325.44-54487.44-141568</f>
        <v>370031.6700000001</v>
      </c>
      <c r="R57" s="9">
        <f t="shared" si="3"/>
        <v>0</v>
      </c>
      <c r="S57" s="9"/>
      <c r="T57" s="9"/>
      <c r="U57" s="9"/>
      <c r="V57" s="9"/>
      <c r="W57" s="9"/>
      <c r="X57" s="9"/>
      <c r="Y57" s="10">
        <f t="shared" si="1"/>
        <v>370031.6700000001</v>
      </c>
      <c r="Z57" s="11"/>
    </row>
    <row r="58" spans="1:27" ht="38.1" customHeight="1" x14ac:dyDescent="0.25">
      <c r="A58" s="7">
        <f t="shared" si="4"/>
        <v>49</v>
      </c>
      <c r="B58" s="8" t="s">
        <v>66</v>
      </c>
      <c r="C58" s="8" t="s">
        <v>224</v>
      </c>
      <c r="D58" s="9">
        <f t="shared" si="5"/>
        <v>0</v>
      </c>
      <c r="E58" s="9"/>
      <c r="F58" s="9"/>
      <c r="G58" s="9">
        <f t="shared" si="0"/>
        <v>1661951.6</v>
      </c>
      <c r="H58" s="9"/>
      <c r="I58" s="9"/>
      <c r="J58" s="9"/>
      <c r="K58" s="9"/>
      <c r="L58" s="9"/>
      <c r="M58" s="9"/>
      <c r="N58" s="9"/>
      <c r="O58" s="9"/>
      <c r="P58" s="9">
        <f>1816103.78-154152.18</f>
        <v>1661951.6</v>
      </c>
      <c r="Q58" s="9"/>
      <c r="R58" s="9">
        <f t="shared" si="3"/>
        <v>0</v>
      </c>
      <c r="S58" s="9"/>
      <c r="T58" s="9"/>
      <c r="U58" s="9"/>
      <c r="V58" s="9"/>
      <c r="W58" s="9"/>
      <c r="X58" s="9"/>
      <c r="Y58" s="10">
        <f t="shared" si="1"/>
        <v>1661951.6</v>
      </c>
      <c r="Z58" s="11"/>
    </row>
    <row r="59" spans="1:27" ht="38.1" customHeight="1" x14ac:dyDescent="0.25">
      <c r="A59" s="7">
        <f t="shared" si="4"/>
        <v>50</v>
      </c>
      <c r="B59" s="8" t="s">
        <v>67</v>
      </c>
      <c r="C59" s="8" t="s">
        <v>223</v>
      </c>
      <c r="D59" s="9">
        <f t="shared" si="5"/>
        <v>0</v>
      </c>
      <c r="E59" s="9"/>
      <c r="F59" s="9"/>
      <c r="G59" s="9">
        <f t="shared" si="0"/>
        <v>9962200.7200000007</v>
      </c>
      <c r="H59" s="9"/>
      <c r="I59" s="9"/>
      <c r="J59" s="9"/>
      <c r="K59" s="9"/>
      <c r="L59" s="9"/>
      <c r="M59" s="9"/>
      <c r="N59" s="9"/>
      <c r="O59" s="9"/>
      <c r="P59" s="9">
        <v>9962200.7200000007</v>
      </c>
      <c r="Q59" s="9"/>
      <c r="R59" s="9">
        <f t="shared" si="3"/>
        <v>0</v>
      </c>
      <c r="S59" s="9"/>
      <c r="T59" s="9"/>
      <c r="U59" s="9"/>
      <c r="V59" s="9"/>
      <c r="W59" s="9"/>
      <c r="X59" s="9"/>
      <c r="Y59" s="10">
        <f t="shared" si="1"/>
        <v>9962200.7200000007</v>
      </c>
      <c r="Z59" s="11"/>
    </row>
    <row r="60" spans="1:27" ht="38.1" customHeight="1" x14ac:dyDescent="0.25">
      <c r="A60" s="7">
        <f t="shared" si="4"/>
        <v>51</v>
      </c>
      <c r="B60" s="8" t="s">
        <v>124</v>
      </c>
      <c r="C60" s="8" t="s">
        <v>222</v>
      </c>
      <c r="D60" s="9">
        <f t="shared" si="5"/>
        <v>0</v>
      </c>
      <c r="E60" s="9"/>
      <c r="F60" s="9"/>
      <c r="G60" s="9">
        <f t="shared" si="0"/>
        <v>26071257.814722225</v>
      </c>
      <c r="H60" s="9">
        <f>SUM(I60:M60)</f>
        <v>3952711.94</v>
      </c>
      <c r="I60" s="9">
        <v>1624698.075</v>
      </c>
      <c r="J60" s="9">
        <v>37624.625</v>
      </c>
      <c r="K60" s="9">
        <v>975904.64640000009</v>
      </c>
      <c r="L60" s="9">
        <v>4678.9835999998859</v>
      </c>
      <c r="M60" s="9">
        <v>1309805.6099999999</v>
      </c>
      <c r="N60" s="9">
        <v>2651097.0747222221</v>
      </c>
      <c r="O60" s="9">
        <v>587280</v>
      </c>
      <c r="P60" s="9">
        <v>18880168.800000001</v>
      </c>
      <c r="Q60" s="9"/>
      <c r="R60" s="9">
        <f t="shared" si="3"/>
        <v>2588519.48</v>
      </c>
      <c r="S60" s="9"/>
      <c r="T60" s="9">
        <v>2588519.48</v>
      </c>
      <c r="U60" s="9"/>
      <c r="V60" s="9"/>
      <c r="W60" s="9"/>
      <c r="X60" s="9"/>
      <c r="Y60" s="10">
        <f t="shared" si="1"/>
        <v>28659777.294722226</v>
      </c>
      <c r="Z60" s="11"/>
    </row>
    <row r="61" spans="1:27" ht="38.1" customHeight="1" x14ac:dyDescent="0.25">
      <c r="A61" s="7">
        <f t="shared" si="4"/>
        <v>52</v>
      </c>
      <c r="B61" s="8" t="s">
        <v>68</v>
      </c>
      <c r="C61" s="8" t="s">
        <v>221</v>
      </c>
      <c r="D61" s="9">
        <f t="shared" si="5"/>
        <v>0</v>
      </c>
      <c r="E61" s="9"/>
      <c r="F61" s="9"/>
      <c r="G61" s="9">
        <f t="shared" si="0"/>
        <v>0</v>
      </c>
      <c r="H61" s="9"/>
      <c r="I61" s="9"/>
      <c r="J61" s="9"/>
      <c r="K61" s="9"/>
      <c r="L61" s="9"/>
      <c r="M61" s="9"/>
      <c r="N61" s="9"/>
      <c r="O61" s="9"/>
      <c r="P61" s="9"/>
      <c r="Q61" s="9"/>
      <c r="R61" s="9">
        <f t="shared" si="3"/>
        <v>2627129.3199999998</v>
      </c>
      <c r="S61" s="9"/>
      <c r="T61" s="9">
        <v>2627129.3199999998</v>
      </c>
      <c r="U61" s="9"/>
      <c r="V61" s="9"/>
      <c r="W61" s="9"/>
      <c r="X61" s="9"/>
      <c r="Y61" s="10">
        <f t="shared" si="1"/>
        <v>2627129.3199999998</v>
      </c>
      <c r="Z61" s="11"/>
    </row>
    <row r="62" spans="1:27" ht="51" customHeight="1" x14ac:dyDescent="0.25">
      <c r="A62" s="7">
        <f t="shared" si="4"/>
        <v>53</v>
      </c>
      <c r="B62" s="8" t="s">
        <v>121</v>
      </c>
      <c r="C62" s="8" t="s">
        <v>220</v>
      </c>
      <c r="D62" s="9">
        <f t="shared" si="5"/>
        <v>69278119.950000003</v>
      </c>
      <c r="E62" s="9">
        <v>69278119.950000003</v>
      </c>
      <c r="F62" s="9"/>
      <c r="G62" s="9">
        <f t="shared" si="0"/>
        <v>0</v>
      </c>
      <c r="H62" s="9"/>
      <c r="I62" s="9"/>
      <c r="J62" s="9"/>
      <c r="K62" s="9"/>
      <c r="L62" s="9"/>
      <c r="M62" s="9"/>
      <c r="N62" s="9"/>
      <c r="O62" s="9"/>
      <c r="P62" s="9"/>
      <c r="Q62" s="9"/>
      <c r="R62" s="9">
        <f t="shared" si="3"/>
        <v>6062038.0800000001</v>
      </c>
      <c r="S62" s="9">
        <v>6062038.0800000001</v>
      </c>
      <c r="T62" s="9"/>
      <c r="U62" s="9"/>
      <c r="V62" s="9"/>
      <c r="W62" s="9"/>
      <c r="X62" s="9"/>
      <c r="Y62" s="10">
        <f t="shared" si="1"/>
        <v>75340158.030000001</v>
      </c>
      <c r="Z62" s="11"/>
    </row>
    <row r="63" spans="1:27" ht="38.1" customHeight="1" x14ac:dyDescent="0.25">
      <c r="A63" s="7">
        <f t="shared" si="4"/>
        <v>54</v>
      </c>
      <c r="B63" s="8" t="s">
        <v>69</v>
      </c>
      <c r="C63" s="8" t="s">
        <v>219</v>
      </c>
      <c r="D63" s="9">
        <f t="shared" si="5"/>
        <v>0</v>
      </c>
      <c r="E63" s="9"/>
      <c r="F63" s="9"/>
      <c r="G63" s="9">
        <f t="shared" si="0"/>
        <v>28305383.07</v>
      </c>
      <c r="H63" s="9"/>
      <c r="I63" s="9"/>
      <c r="J63" s="9"/>
      <c r="K63" s="9"/>
      <c r="L63" s="9"/>
      <c r="M63" s="9"/>
      <c r="N63" s="9"/>
      <c r="O63" s="9"/>
      <c r="P63" s="9"/>
      <c r="Q63" s="9">
        <f>26115310.7+2190072.37</f>
        <v>28305383.07</v>
      </c>
      <c r="R63" s="9">
        <f t="shared" si="3"/>
        <v>0</v>
      </c>
      <c r="S63" s="9"/>
      <c r="T63" s="9"/>
      <c r="U63" s="9"/>
      <c r="V63" s="9"/>
      <c r="W63" s="9"/>
      <c r="X63" s="9"/>
      <c r="Y63" s="10">
        <f t="shared" si="1"/>
        <v>28305383.07</v>
      </c>
      <c r="Z63" s="11"/>
    </row>
    <row r="64" spans="1:27" ht="38.1" customHeight="1" x14ac:dyDescent="0.25">
      <c r="A64" s="7">
        <f t="shared" si="4"/>
        <v>55</v>
      </c>
      <c r="B64" s="8" t="s">
        <v>70</v>
      </c>
      <c r="C64" s="8" t="s">
        <v>218</v>
      </c>
      <c r="D64" s="9">
        <f t="shared" si="5"/>
        <v>0</v>
      </c>
      <c r="E64" s="9"/>
      <c r="F64" s="9"/>
      <c r="G64" s="9">
        <f t="shared" si="0"/>
        <v>904428.6</v>
      </c>
      <c r="H64" s="9"/>
      <c r="I64" s="9"/>
      <c r="J64" s="9"/>
      <c r="K64" s="9"/>
      <c r="L64" s="9"/>
      <c r="M64" s="9"/>
      <c r="N64" s="9"/>
      <c r="O64" s="9"/>
      <c r="P64" s="9"/>
      <c r="Q64" s="9">
        <v>904428.6</v>
      </c>
      <c r="R64" s="9">
        <f t="shared" si="3"/>
        <v>0</v>
      </c>
      <c r="S64" s="9"/>
      <c r="T64" s="9"/>
      <c r="U64" s="9"/>
      <c r="V64" s="9"/>
      <c r="W64" s="9"/>
      <c r="X64" s="9"/>
      <c r="Y64" s="10">
        <f t="shared" si="1"/>
        <v>904428.6</v>
      </c>
      <c r="Z64" s="11"/>
    </row>
    <row r="65" spans="1:26" ht="38.1" customHeight="1" x14ac:dyDescent="0.25">
      <c r="A65" s="7">
        <f t="shared" si="4"/>
        <v>56</v>
      </c>
      <c r="B65" s="8" t="s">
        <v>71</v>
      </c>
      <c r="C65" s="8" t="s">
        <v>217</v>
      </c>
      <c r="D65" s="9">
        <f t="shared" si="5"/>
        <v>0</v>
      </c>
      <c r="E65" s="9"/>
      <c r="F65" s="9"/>
      <c r="G65" s="9">
        <f t="shared" si="0"/>
        <v>2607307.6800000002</v>
      </c>
      <c r="H65" s="9"/>
      <c r="I65" s="9"/>
      <c r="J65" s="9"/>
      <c r="K65" s="9"/>
      <c r="L65" s="9"/>
      <c r="M65" s="9"/>
      <c r="N65" s="9"/>
      <c r="O65" s="9"/>
      <c r="P65" s="9"/>
      <c r="Q65" s="9">
        <f>2919448-312140.32</f>
        <v>2607307.6800000002</v>
      </c>
      <c r="R65" s="9">
        <f t="shared" si="3"/>
        <v>0</v>
      </c>
      <c r="S65" s="9"/>
      <c r="T65" s="9"/>
      <c r="U65" s="9"/>
      <c r="V65" s="9"/>
      <c r="W65" s="9"/>
      <c r="X65" s="9"/>
      <c r="Y65" s="10">
        <f t="shared" si="1"/>
        <v>2607307.6800000002</v>
      </c>
      <c r="Z65" s="11"/>
    </row>
    <row r="66" spans="1:26" ht="38.1" customHeight="1" x14ac:dyDescent="0.25">
      <c r="A66" s="7">
        <f t="shared" si="4"/>
        <v>57</v>
      </c>
      <c r="B66" s="8" t="s">
        <v>72</v>
      </c>
      <c r="C66" s="8" t="s">
        <v>216</v>
      </c>
      <c r="D66" s="9">
        <f t="shared" si="5"/>
        <v>0</v>
      </c>
      <c r="E66" s="9"/>
      <c r="F66" s="9"/>
      <c r="G66" s="9">
        <f t="shared" si="0"/>
        <v>1171299.8999999999</v>
      </c>
      <c r="H66" s="9"/>
      <c r="I66" s="9"/>
      <c r="J66" s="9"/>
      <c r="K66" s="9"/>
      <c r="L66" s="9"/>
      <c r="M66" s="9"/>
      <c r="N66" s="9"/>
      <c r="O66" s="9"/>
      <c r="P66" s="9"/>
      <c r="Q66" s="9">
        <v>1171299.8999999999</v>
      </c>
      <c r="R66" s="9">
        <f t="shared" si="3"/>
        <v>0</v>
      </c>
      <c r="S66" s="9"/>
      <c r="T66" s="9"/>
      <c r="U66" s="9"/>
      <c r="V66" s="9"/>
      <c r="W66" s="9"/>
      <c r="X66" s="9"/>
      <c r="Y66" s="10">
        <f t="shared" si="1"/>
        <v>1171299.8999999999</v>
      </c>
      <c r="Z66" s="11"/>
    </row>
    <row r="67" spans="1:26" ht="38.1" customHeight="1" x14ac:dyDescent="0.25">
      <c r="A67" s="7">
        <f t="shared" si="4"/>
        <v>58</v>
      </c>
      <c r="B67" s="8" t="s">
        <v>73</v>
      </c>
      <c r="C67" s="8" t="s">
        <v>215</v>
      </c>
      <c r="D67" s="9">
        <f t="shared" si="5"/>
        <v>0</v>
      </c>
      <c r="E67" s="9"/>
      <c r="F67" s="9"/>
      <c r="G67" s="9">
        <f t="shared" si="0"/>
        <v>905797.2</v>
      </c>
      <c r="H67" s="9"/>
      <c r="I67" s="9"/>
      <c r="J67" s="9"/>
      <c r="K67" s="9"/>
      <c r="L67" s="9"/>
      <c r="M67" s="9"/>
      <c r="N67" s="9"/>
      <c r="O67" s="9"/>
      <c r="P67" s="9">
        <f>1009709-103911.8</f>
        <v>905797.2</v>
      </c>
      <c r="Q67" s="9"/>
      <c r="R67" s="9">
        <f t="shared" si="3"/>
        <v>290611.65000000002</v>
      </c>
      <c r="S67" s="9"/>
      <c r="T67" s="9">
        <v>290611.65000000002</v>
      </c>
      <c r="U67" s="9"/>
      <c r="V67" s="9"/>
      <c r="W67" s="9"/>
      <c r="X67" s="9"/>
      <c r="Y67" s="10">
        <f t="shared" si="1"/>
        <v>1196408.8500000001</v>
      </c>
      <c r="Z67" s="11"/>
    </row>
    <row r="68" spans="1:26" ht="38.1" customHeight="1" x14ac:dyDescent="0.25">
      <c r="A68" s="7">
        <f t="shared" si="4"/>
        <v>59</v>
      </c>
      <c r="B68" s="8" t="s">
        <v>74</v>
      </c>
      <c r="C68" s="8" t="s">
        <v>214</v>
      </c>
      <c r="D68" s="9">
        <f t="shared" si="5"/>
        <v>0</v>
      </c>
      <c r="E68" s="9"/>
      <c r="F68" s="9"/>
      <c r="G68" s="9">
        <f t="shared" si="0"/>
        <v>1185355.3400000001</v>
      </c>
      <c r="H68" s="9"/>
      <c r="I68" s="9"/>
      <c r="J68" s="9"/>
      <c r="K68" s="9"/>
      <c r="L68" s="9"/>
      <c r="M68" s="9"/>
      <c r="N68" s="9"/>
      <c r="O68" s="9"/>
      <c r="P68" s="9"/>
      <c r="Q68" s="9">
        <f>1283494-98138.66</f>
        <v>1185355.3400000001</v>
      </c>
      <c r="R68" s="9">
        <f t="shared" si="3"/>
        <v>0</v>
      </c>
      <c r="S68" s="9"/>
      <c r="T68" s="9"/>
      <c r="U68" s="9"/>
      <c r="V68" s="9"/>
      <c r="W68" s="9"/>
      <c r="X68" s="9"/>
      <c r="Y68" s="10">
        <f t="shared" si="1"/>
        <v>1185355.3400000001</v>
      </c>
      <c r="Z68" s="11"/>
    </row>
    <row r="69" spans="1:26" ht="38.1" customHeight="1" x14ac:dyDescent="0.25">
      <c r="A69" s="7">
        <f t="shared" si="4"/>
        <v>60</v>
      </c>
      <c r="B69" s="8" t="s">
        <v>75</v>
      </c>
      <c r="C69" s="8" t="s">
        <v>213</v>
      </c>
      <c r="D69" s="9">
        <f t="shared" si="5"/>
        <v>0</v>
      </c>
      <c r="E69" s="9"/>
      <c r="F69" s="9"/>
      <c r="G69" s="9">
        <f t="shared" si="0"/>
        <v>980300</v>
      </c>
      <c r="H69" s="9"/>
      <c r="I69" s="9"/>
      <c r="J69" s="9"/>
      <c r="K69" s="9"/>
      <c r="L69" s="9"/>
      <c r="M69" s="9"/>
      <c r="N69" s="9"/>
      <c r="O69" s="9"/>
      <c r="P69" s="9">
        <v>980300</v>
      </c>
      <c r="Q69" s="9"/>
      <c r="R69" s="9">
        <f t="shared" si="3"/>
        <v>0</v>
      </c>
      <c r="S69" s="9"/>
      <c r="T69" s="9"/>
      <c r="U69" s="9"/>
      <c r="V69" s="9"/>
      <c r="W69" s="9"/>
      <c r="X69" s="9"/>
      <c r="Y69" s="10">
        <f t="shared" si="1"/>
        <v>980300</v>
      </c>
      <c r="Z69" s="11"/>
    </row>
    <row r="70" spans="1:26" ht="38.1" customHeight="1" x14ac:dyDescent="0.25">
      <c r="A70" s="7">
        <f t="shared" si="4"/>
        <v>61</v>
      </c>
      <c r="B70" s="8" t="s">
        <v>76</v>
      </c>
      <c r="C70" s="8" t="s">
        <v>212</v>
      </c>
      <c r="D70" s="9">
        <f t="shared" si="5"/>
        <v>0</v>
      </c>
      <c r="E70" s="9"/>
      <c r="F70" s="9"/>
      <c r="G70" s="9">
        <f t="shared" si="0"/>
        <v>989688.6</v>
      </c>
      <c r="H70" s="9"/>
      <c r="I70" s="9"/>
      <c r="J70" s="9"/>
      <c r="K70" s="9"/>
      <c r="L70" s="9"/>
      <c r="M70" s="9"/>
      <c r="N70" s="9"/>
      <c r="O70" s="9"/>
      <c r="P70" s="9"/>
      <c r="Q70" s="9">
        <v>989688.6</v>
      </c>
      <c r="R70" s="9">
        <f t="shared" si="3"/>
        <v>0</v>
      </c>
      <c r="S70" s="9"/>
      <c r="T70" s="9"/>
      <c r="U70" s="9"/>
      <c r="V70" s="9"/>
      <c r="W70" s="9"/>
      <c r="X70" s="9"/>
      <c r="Y70" s="10">
        <f t="shared" si="1"/>
        <v>989688.6</v>
      </c>
      <c r="Z70" s="11"/>
    </row>
    <row r="71" spans="1:26" ht="38.1" customHeight="1" x14ac:dyDescent="0.25">
      <c r="A71" s="7">
        <f t="shared" si="4"/>
        <v>62</v>
      </c>
      <c r="B71" s="8" t="s">
        <v>77</v>
      </c>
      <c r="C71" s="8" t="s">
        <v>211</v>
      </c>
      <c r="D71" s="9">
        <f t="shared" si="5"/>
        <v>0</v>
      </c>
      <c r="E71" s="9"/>
      <c r="F71" s="9"/>
      <c r="G71" s="9">
        <f t="shared" si="0"/>
        <v>467589.69999999995</v>
      </c>
      <c r="H71" s="9"/>
      <c r="I71" s="9"/>
      <c r="J71" s="9"/>
      <c r="K71" s="9"/>
      <c r="L71" s="9"/>
      <c r="M71" s="9"/>
      <c r="N71" s="9"/>
      <c r="O71" s="9"/>
      <c r="P71" s="9"/>
      <c r="Q71" s="9">
        <f>670747.2-203157.5</f>
        <v>467589.69999999995</v>
      </c>
      <c r="R71" s="9">
        <f t="shared" si="3"/>
        <v>0</v>
      </c>
      <c r="S71" s="9"/>
      <c r="T71" s="9"/>
      <c r="U71" s="9"/>
      <c r="V71" s="9"/>
      <c r="W71" s="9"/>
      <c r="X71" s="9"/>
      <c r="Y71" s="10">
        <f t="shared" si="1"/>
        <v>467589.69999999995</v>
      </c>
      <c r="Z71" s="11"/>
    </row>
    <row r="72" spans="1:26" ht="38.1" customHeight="1" x14ac:dyDescent="0.25">
      <c r="A72" s="7">
        <f t="shared" si="4"/>
        <v>63</v>
      </c>
      <c r="B72" s="8" t="s">
        <v>78</v>
      </c>
      <c r="C72" s="8" t="s">
        <v>210</v>
      </c>
      <c r="D72" s="9">
        <f t="shared" si="5"/>
        <v>0</v>
      </c>
      <c r="E72" s="9"/>
      <c r="F72" s="9"/>
      <c r="G72" s="9">
        <f t="shared" si="0"/>
        <v>815295.37</v>
      </c>
      <c r="H72" s="9"/>
      <c r="I72" s="9"/>
      <c r="J72" s="9"/>
      <c r="K72" s="9"/>
      <c r="L72" s="9"/>
      <c r="M72" s="9"/>
      <c r="N72" s="9"/>
      <c r="O72" s="9"/>
      <c r="P72" s="9"/>
      <c r="Q72" s="9">
        <v>815295.37</v>
      </c>
      <c r="R72" s="9">
        <f t="shared" si="3"/>
        <v>0</v>
      </c>
      <c r="S72" s="9"/>
      <c r="T72" s="9"/>
      <c r="U72" s="9"/>
      <c r="V72" s="9"/>
      <c r="W72" s="9"/>
      <c r="X72" s="9"/>
      <c r="Y72" s="10">
        <f t="shared" si="1"/>
        <v>815295.37</v>
      </c>
      <c r="Z72" s="11"/>
    </row>
    <row r="73" spans="1:26" ht="38.1" customHeight="1" x14ac:dyDescent="0.25">
      <c r="A73" s="7">
        <f t="shared" si="4"/>
        <v>64</v>
      </c>
      <c r="B73" s="8" t="s">
        <v>79</v>
      </c>
      <c r="C73" s="8" t="s">
        <v>209</v>
      </c>
      <c r="D73" s="9">
        <f t="shared" si="5"/>
        <v>0</v>
      </c>
      <c r="E73" s="9"/>
      <c r="F73" s="9"/>
      <c r="G73" s="9">
        <f t="shared" si="0"/>
        <v>84597.91</v>
      </c>
      <c r="H73" s="9"/>
      <c r="I73" s="9"/>
      <c r="J73" s="9"/>
      <c r="K73" s="9"/>
      <c r="L73" s="9"/>
      <c r="M73" s="9"/>
      <c r="N73" s="9"/>
      <c r="O73" s="9"/>
      <c r="P73" s="9">
        <f>58818-58818</f>
        <v>0</v>
      </c>
      <c r="Q73" s="9">
        <f>131092.1-11916.4-34577.79</f>
        <v>84597.91</v>
      </c>
      <c r="R73" s="9">
        <f t="shared" si="3"/>
        <v>0</v>
      </c>
      <c r="S73" s="9"/>
      <c r="T73" s="9"/>
      <c r="U73" s="9"/>
      <c r="V73" s="9"/>
      <c r="W73" s="9"/>
      <c r="X73" s="9"/>
      <c r="Y73" s="10">
        <f t="shared" si="1"/>
        <v>84597.91</v>
      </c>
      <c r="Z73" s="11"/>
    </row>
    <row r="74" spans="1:26" ht="38.1" customHeight="1" x14ac:dyDescent="0.25">
      <c r="A74" s="7">
        <f t="shared" si="4"/>
        <v>65</v>
      </c>
      <c r="B74" s="8" t="s">
        <v>80</v>
      </c>
      <c r="C74" s="8" t="s">
        <v>208</v>
      </c>
      <c r="D74" s="9">
        <f t="shared" si="5"/>
        <v>0</v>
      </c>
      <c r="E74" s="9"/>
      <c r="F74" s="9"/>
      <c r="G74" s="9">
        <f t="shared" ref="G74:G130" si="7">H74+N74+O74+P74+Q74</f>
        <v>154983.64000000001</v>
      </c>
      <c r="H74" s="9"/>
      <c r="I74" s="9"/>
      <c r="J74" s="9"/>
      <c r="K74" s="9"/>
      <c r="L74" s="9"/>
      <c r="M74" s="9"/>
      <c r="N74" s="9"/>
      <c r="O74" s="9"/>
      <c r="P74" s="9">
        <v>9828</v>
      </c>
      <c r="Q74" s="9">
        <v>145155.64000000001</v>
      </c>
      <c r="R74" s="9">
        <f t="shared" si="3"/>
        <v>0</v>
      </c>
      <c r="S74" s="9"/>
      <c r="T74" s="9"/>
      <c r="U74" s="9"/>
      <c r="V74" s="9"/>
      <c r="W74" s="9"/>
      <c r="X74" s="9"/>
      <c r="Y74" s="10">
        <f t="shared" ref="Y74:Y130" si="8">V74+R74+G74+D74+U74</f>
        <v>154983.64000000001</v>
      </c>
      <c r="Z74" s="11"/>
    </row>
    <row r="75" spans="1:26" ht="38.1" customHeight="1" x14ac:dyDescent="0.25">
      <c r="A75" s="7">
        <f t="shared" si="4"/>
        <v>66</v>
      </c>
      <c r="B75" s="8" t="s">
        <v>81</v>
      </c>
      <c r="C75" s="8" t="s">
        <v>207</v>
      </c>
      <c r="D75" s="9">
        <f t="shared" si="5"/>
        <v>0</v>
      </c>
      <c r="E75" s="9"/>
      <c r="F75" s="9"/>
      <c r="G75" s="9">
        <f t="shared" si="7"/>
        <v>106393.20000000001</v>
      </c>
      <c r="H75" s="9"/>
      <c r="I75" s="9"/>
      <c r="J75" s="9"/>
      <c r="K75" s="9"/>
      <c r="L75" s="9"/>
      <c r="M75" s="9"/>
      <c r="N75" s="9"/>
      <c r="O75" s="9"/>
      <c r="P75" s="9"/>
      <c r="Q75" s="9">
        <f>265983-159589.8</f>
        <v>106393.20000000001</v>
      </c>
      <c r="R75" s="9">
        <f t="shared" ref="R75:R130" si="9">S75+T75</f>
        <v>0</v>
      </c>
      <c r="S75" s="9"/>
      <c r="T75" s="9"/>
      <c r="U75" s="9"/>
      <c r="V75" s="9"/>
      <c r="W75" s="9"/>
      <c r="X75" s="9"/>
      <c r="Y75" s="10">
        <f t="shared" si="8"/>
        <v>106393.20000000001</v>
      </c>
      <c r="Z75" s="11"/>
    </row>
    <row r="76" spans="1:26" ht="38.1" customHeight="1" x14ac:dyDescent="0.25">
      <c r="A76" s="7">
        <f t="shared" ref="A76:A130" si="10">A75+1</f>
        <v>67</v>
      </c>
      <c r="B76" s="8" t="s">
        <v>125</v>
      </c>
      <c r="C76" s="8" t="s">
        <v>206</v>
      </c>
      <c r="D76" s="9">
        <f t="shared" si="5"/>
        <v>0</v>
      </c>
      <c r="E76" s="9"/>
      <c r="F76" s="9"/>
      <c r="G76" s="9">
        <f t="shared" si="7"/>
        <v>608942</v>
      </c>
      <c r="H76" s="9"/>
      <c r="I76" s="9"/>
      <c r="J76" s="9"/>
      <c r="K76" s="9"/>
      <c r="L76" s="9"/>
      <c r="M76" s="9"/>
      <c r="N76" s="9"/>
      <c r="O76" s="9"/>
      <c r="P76" s="9">
        <v>501354</v>
      </c>
      <c r="Q76" s="9">
        <v>107588.00000000001</v>
      </c>
      <c r="R76" s="9">
        <f t="shared" si="9"/>
        <v>0</v>
      </c>
      <c r="S76" s="9"/>
      <c r="T76" s="9"/>
      <c r="U76" s="9"/>
      <c r="V76" s="9"/>
      <c r="W76" s="9"/>
      <c r="X76" s="9"/>
      <c r="Y76" s="10">
        <f t="shared" si="8"/>
        <v>608942</v>
      </c>
      <c r="Z76" s="11"/>
    </row>
    <row r="77" spans="1:26" ht="38.1" customHeight="1" x14ac:dyDescent="0.25">
      <c r="A77" s="7">
        <f t="shared" si="10"/>
        <v>68</v>
      </c>
      <c r="B77" s="8" t="s">
        <v>126</v>
      </c>
      <c r="C77" s="8" t="s">
        <v>205</v>
      </c>
      <c r="D77" s="9">
        <f t="shared" si="5"/>
        <v>0</v>
      </c>
      <c r="E77" s="9"/>
      <c r="F77" s="9"/>
      <c r="G77" s="9">
        <f t="shared" si="7"/>
        <v>28022.399999999994</v>
      </c>
      <c r="H77" s="9"/>
      <c r="I77" s="9"/>
      <c r="J77" s="9"/>
      <c r="K77" s="9"/>
      <c r="L77" s="9"/>
      <c r="M77" s="9"/>
      <c r="N77" s="9"/>
      <c r="O77" s="9"/>
      <c r="P77" s="9">
        <f>181414.8-153392.4</f>
        <v>28022.399999999994</v>
      </c>
      <c r="Q77" s="9"/>
      <c r="R77" s="9">
        <f t="shared" si="9"/>
        <v>1328510.3999999999</v>
      </c>
      <c r="S77" s="9"/>
      <c r="T77" s="9">
        <v>1328510.3999999999</v>
      </c>
      <c r="U77" s="9"/>
      <c r="V77" s="9"/>
      <c r="W77" s="9"/>
      <c r="X77" s="9"/>
      <c r="Y77" s="10">
        <f t="shared" si="8"/>
        <v>1356532.7999999998</v>
      </c>
      <c r="Z77" s="11"/>
    </row>
    <row r="78" spans="1:26" ht="38.1" customHeight="1" x14ac:dyDescent="0.25">
      <c r="A78" s="7">
        <f t="shared" si="10"/>
        <v>69</v>
      </c>
      <c r="B78" s="8" t="s">
        <v>127</v>
      </c>
      <c r="C78" s="8" t="s">
        <v>204</v>
      </c>
      <c r="D78" s="9">
        <f t="shared" si="5"/>
        <v>0</v>
      </c>
      <c r="E78" s="9"/>
      <c r="F78" s="9"/>
      <c r="G78" s="9">
        <f t="shared" si="7"/>
        <v>24570</v>
      </c>
      <c r="H78" s="9"/>
      <c r="I78" s="9"/>
      <c r="J78" s="9"/>
      <c r="K78" s="9"/>
      <c r="L78" s="9"/>
      <c r="M78" s="9"/>
      <c r="N78" s="9"/>
      <c r="O78" s="9"/>
      <c r="P78" s="9">
        <v>24570</v>
      </c>
      <c r="Q78" s="9"/>
      <c r="R78" s="9">
        <f t="shared" si="9"/>
        <v>0</v>
      </c>
      <c r="S78" s="9"/>
      <c r="T78" s="9"/>
      <c r="U78" s="9"/>
      <c r="V78" s="9"/>
      <c r="W78" s="9"/>
      <c r="X78" s="9"/>
      <c r="Y78" s="10">
        <f t="shared" si="8"/>
        <v>24570</v>
      </c>
      <c r="Z78" s="11"/>
    </row>
    <row r="79" spans="1:26" ht="38.1" customHeight="1" x14ac:dyDescent="0.25">
      <c r="A79" s="7">
        <f t="shared" si="10"/>
        <v>70</v>
      </c>
      <c r="B79" s="8" t="s">
        <v>128</v>
      </c>
      <c r="C79" s="8" t="s">
        <v>203</v>
      </c>
      <c r="D79" s="9">
        <f t="shared" si="5"/>
        <v>0</v>
      </c>
      <c r="E79" s="9"/>
      <c r="F79" s="9"/>
      <c r="G79" s="9">
        <f t="shared" si="7"/>
        <v>0</v>
      </c>
      <c r="H79" s="9"/>
      <c r="I79" s="9"/>
      <c r="J79" s="9"/>
      <c r="K79" s="9"/>
      <c r="L79" s="9"/>
      <c r="M79" s="9"/>
      <c r="N79" s="9"/>
      <c r="O79" s="9"/>
      <c r="P79" s="9">
        <v>0</v>
      </c>
      <c r="Q79" s="9"/>
      <c r="R79" s="9">
        <f t="shared" si="9"/>
        <v>0</v>
      </c>
      <c r="S79" s="9"/>
      <c r="T79" s="9"/>
      <c r="U79" s="9"/>
      <c r="V79" s="9"/>
      <c r="W79" s="9"/>
      <c r="X79" s="9"/>
      <c r="Y79" s="10">
        <f t="shared" si="8"/>
        <v>0</v>
      </c>
      <c r="Z79" s="11"/>
    </row>
    <row r="80" spans="1:26" ht="38.1" customHeight="1" x14ac:dyDescent="0.25">
      <c r="A80" s="7">
        <f t="shared" si="10"/>
        <v>71</v>
      </c>
      <c r="B80" s="8" t="s">
        <v>129</v>
      </c>
      <c r="C80" s="8" t="s">
        <v>202</v>
      </c>
      <c r="D80" s="9">
        <f t="shared" si="5"/>
        <v>0</v>
      </c>
      <c r="E80" s="9"/>
      <c r="F80" s="9"/>
      <c r="G80" s="9">
        <f t="shared" si="7"/>
        <v>117636</v>
      </c>
      <c r="H80" s="9"/>
      <c r="I80" s="9"/>
      <c r="J80" s="9"/>
      <c r="K80" s="9"/>
      <c r="L80" s="9"/>
      <c r="M80" s="9"/>
      <c r="N80" s="9"/>
      <c r="O80" s="9"/>
      <c r="P80" s="9">
        <v>117636</v>
      </c>
      <c r="Q80" s="9"/>
      <c r="R80" s="9">
        <f t="shared" si="9"/>
        <v>0</v>
      </c>
      <c r="S80" s="9"/>
      <c r="T80" s="9"/>
      <c r="U80" s="9"/>
      <c r="V80" s="9"/>
      <c r="W80" s="9"/>
      <c r="X80" s="9"/>
      <c r="Y80" s="10">
        <f t="shared" si="8"/>
        <v>117636</v>
      </c>
      <c r="Z80" s="11"/>
    </row>
    <row r="81" spans="1:26" ht="38.1" customHeight="1" x14ac:dyDescent="0.25">
      <c r="A81" s="7">
        <f t="shared" si="10"/>
        <v>72</v>
      </c>
      <c r="B81" s="8" t="s">
        <v>130</v>
      </c>
      <c r="C81" s="8" t="s">
        <v>201</v>
      </c>
      <c r="D81" s="9">
        <f t="shared" si="5"/>
        <v>0</v>
      </c>
      <c r="E81" s="9"/>
      <c r="F81" s="9"/>
      <c r="G81" s="9">
        <f t="shared" si="7"/>
        <v>1803304.58</v>
      </c>
      <c r="H81" s="9"/>
      <c r="I81" s="9"/>
      <c r="J81" s="9"/>
      <c r="K81" s="9"/>
      <c r="L81" s="9"/>
      <c r="M81" s="9"/>
      <c r="N81" s="9"/>
      <c r="O81" s="9"/>
      <c r="P81" s="9"/>
      <c r="Q81" s="9">
        <v>1803304.58</v>
      </c>
      <c r="R81" s="9">
        <f t="shared" si="9"/>
        <v>0</v>
      </c>
      <c r="S81" s="9"/>
      <c r="T81" s="9"/>
      <c r="U81" s="9"/>
      <c r="V81" s="9"/>
      <c r="W81" s="9"/>
      <c r="X81" s="9"/>
      <c r="Y81" s="10">
        <f t="shared" si="8"/>
        <v>1803304.58</v>
      </c>
      <c r="Z81" s="11"/>
    </row>
    <row r="82" spans="1:26" ht="38.1" customHeight="1" x14ac:dyDescent="0.25">
      <c r="A82" s="7">
        <f t="shared" si="10"/>
        <v>73</v>
      </c>
      <c r="B82" s="8" t="s">
        <v>131</v>
      </c>
      <c r="C82" s="8" t="s">
        <v>200</v>
      </c>
      <c r="D82" s="9">
        <f t="shared" si="5"/>
        <v>0</v>
      </c>
      <c r="E82" s="9"/>
      <c r="F82" s="9"/>
      <c r="G82" s="9">
        <f t="shared" si="7"/>
        <v>0</v>
      </c>
      <c r="H82" s="9"/>
      <c r="I82" s="9"/>
      <c r="J82" s="9"/>
      <c r="K82" s="9"/>
      <c r="L82" s="9"/>
      <c r="M82" s="9"/>
      <c r="N82" s="9"/>
      <c r="O82" s="9"/>
      <c r="P82" s="9">
        <v>0</v>
      </c>
      <c r="Q82" s="9"/>
      <c r="R82" s="9">
        <f t="shared" si="9"/>
        <v>0</v>
      </c>
      <c r="S82" s="9"/>
      <c r="T82" s="9"/>
      <c r="U82" s="9"/>
      <c r="V82" s="9"/>
      <c r="W82" s="9"/>
      <c r="X82" s="9"/>
      <c r="Y82" s="10">
        <f t="shared" si="8"/>
        <v>0</v>
      </c>
      <c r="Z82" s="11"/>
    </row>
    <row r="83" spans="1:26" ht="38.1" customHeight="1" x14ac:dyDescent="0.25">
      <c r="A83" s="7">
        <f t="shared" si="10"/>
        <v>74</v>
      </c>
      <c r="B83" s="8" t="s">
        <v>132</v>
      </c>
      <c r="C83" s="8" t="s">
        <v>199</v>
      </c>
      <c r="D83" s="9">
        <f t="shared" si="5"/>
        <v>0</v>
      </c>
      <c r="E83" s="9"/>
      <c r="F83" s="9"/>
      <c r="G83" s="9">
        <f t="shared" si="7"/>
        <v>23587.289999999994</v>
      </c>
      <c r="H83" s="9"/>
      <c r="I83" s="9"/>
      <c r="J83" s="9"/>
      <c r="K83" s="9"/>
      <c r="L83" s="9"/>
      <c r="M83" s="9"/>
      <c r="N83" s="9"/>
      <c r="O83" s="9"/>
      <c r="P83" s="9">
        <f>29409-29409</f>
        <v>0</v>
      </c>
      <c r="Q83" s="9">
        <f>81443.12-9340.35-5958.2-42557.28</f>
        <v>23587.289999999994</v>
      </c>
      <c r="R83" s="9">
        <f t="shared" si="9"/>
        <v>0</v>
      </c>
      <c r="S83" s="9"/>
      <c r="T83" s="9"/>
      <c r="U83" s="9"/>
      <c r="V83" s="9"/>
      <c r="W83" s="9"/>
      <c r="X83" s="9"/>
      <c r="Y83" s="10">
        <f t="shared" si="8"/>
        <v>23587.289999999994</v>
      </c>
      <c r="Z83" s="11"/>
    </row>
    <row r="84" spans="1:26" ht="38.1" customHeight="1" x14ac:dyDescent="0.25">
      <c r="A84" s="7">
        <f t="shared" si="10"/>
        <v>75</v>
      </c>
      <c r="B84" s="8" t="s">
        <v>133</v>
      </c>
      <c r="C84" s="8" t="s">
        <v>197</v>
      </c>
      <c r="D84" s="9">
        <f t="shared" si="5"/>
        <v>0</v>
      </c>
      <c r="E84" s="9"/>
      <c r="F84" s="9"/>
      <c r="G84" s="9">
        <f t="shared" si="7"/>
        <v>108162.42000000001</v>
      </c>
      <c r="H84" s="9"/>
      <c r="I84" s="9"/>
      <c r="J84" s="9"/>
      <c r="K84" s="9"/>
      <c r="L84" s="9"/>
      <c r="M84" s="9"/>
      <c r="N84" s="9"/>
      <c r="O84" s="9"/>
      <c r="P84" s="9">
        <v>29409</v>
      </c>
      <c r="Q84" s="9">
        <v>78753.420000000013</v>
      </c>
      <c r="R84" s="9">
        <f t="shared" si="9"/>
        <v>0</v>
      </c>
      <c r="S84" s="9"/>
      <c r="T84" s="9"/>
      <c r="U84" s="9"/>
      <c r="V84" s="9"/>
      <c r="W84" s="9"/>
      <c r="X84" s="9"/>
      <c r="Y84" s="10">
        <f t="shared" si="8"/>
        <v>108162.42000000001</v>
      </c>
      <c r="Z84" s="11"/>
    </row>
    <row r="85" spans="1:26" ht="38.1" customHeight="1" x14ac:dyDescent="0.25">
      <c r="A85" s="7">
        <f t="shared" si="10"/>
        <v>76</v>
      </c>
      <c r="B85" s="8" t="s">
        <v>134</v>
      </c>
      <c r="C85" s="8" t="s">
        <v>198</v>
      </c>
      <c r="D85" s="9">
        <f t="shared" si="5"/>
        <v>0</v>
      </c>
      <c r="E85" s="9"/>
      <c r="F85" s="9"/>
      <c r="G85" s="9">
        <f t="shared" si="7"/>
        <v>107873.01999999999</v>
      </c>
      <c r="H85" s="9"/>
      <c r="I85" s="9"/>
      <c r="J85" s="9"/>
      <c r="K85" s="9"/>
      <c r="L85" s="9"/>
      <c r="M85" s="9"/>
      <c r="N85" s="9"/>
      <c r="O85" s="9"/>
      <c r="P85" s="9">
        <v>29409</v>
      </c>
      <c r="Q85" s="9">
        <v>78464.01999999999</v>
      </c>
      <c r="R85" s="9">
        <f t="shared" si="9"/>
        <v>0</v>
      </c>
      <c r="S85" s="9"/>
      <c r="T85" s="9"/>
      <c r="U85" s="9"/>
      <c r="V85" s="9"/>
      <c r="W85" s="9"/>
      <c r="X85" s="9"/>
      <c r="Y85" s="10">
        <f t="shared" si="8"/>
        <v>107873.01999999999</v>
      </c>
      <c r="Z85" s="11"/>
    </row>
    <row r="86" spans="1:26" ht="38.1" customHeight="1" x14ac:dyDescent="0.25">
      <c r="A86" s="7">
        <f t="shared" si="10"/>
        <v>77</v>
      </c>
      <c r="B86" s="8" t="s">
        <v>136</v>
      </c>
      <c r="C86" s="8" t="s">
        <v>196</v>
      </c>
      <c r="D86" s="9">
        <f t="shared" si="5"/>
        <v>0</v>
      </c>
      <c r="E86" s="9"/>
      <c r="F86" s="9"/>
      <c r="G86" s="9">
        <f t="shared" si="7"/>
        <v>0</v>
      </c>
      <c r="H86" s="9"/>
      <c r="I86" s="9"/>
      <c r="J86" s="9"/>
      <c r="K86" s="9"/>
      <c r="L86" s="9"/>
      <c r="M86" s="9"/>
      <c r="N86" s="9"/>
      <c r="O86" s="9"/>
      <c r="P86" s="9">
        <v>0</v>
      </c>
      <c r="Q86" s="9"/>
      <c r="R86" s="9">
        <f t="shared" si="9"/>
        <v>0</v>
      </c>
      <c r="S86" s="9"/>
      <c r="T86" s="9"/>
      <c r="U86" s="9"/>
      <c r="V86" s="9"/>
      <c r="W86" s="9"/>
      <c r="X86" s="9"/>
      <c r="Y86" s="10">
        <f t="shared" si="8"/>
        <v>0</v>
      </c>
      <c r="Z86" s="11"/>
    </row>
    <row r="87" spans="1:26" ht="38.1" customHeight="1" x14ac:dyDescent="0.25">
      <c r="A87" s="7">
        <f t="shared" si="10"/>
        <v>78</v>
      </c>
      <c r="B87" s="8" t="s">
        <v>139</v>
      </c>
      <c r="C87" s="8" t="s">
        <v>195</v>
      </c>
      <c r="D87" s="9">
        <f t="shared" si="5"/>
        <v>0</v>
      </c>
      <c r="E87" s="9"/>
      <c r="F87" s="9"/>
      <c r="G87" s="9">
        <f t="shared" si="7"/>
        <v>79208.240000000005</v>
      </c>
      <c r="H87" s="9"/>
      <c r="I87" s="9"/>
      <c r="J87" s="9"/>
      <c r="K87" s="9"/>
      <c r="L87" s="9"/>
      <c r="M87" s="9"/>
      <c r="N87" s="9"/>
      <c r="O87" s="9"/>
      <c r="P87" s="9">
        <v>79208.240000000005</v>
      </c>
      <c r="Q87" s="9"/>
      <c r="R87" s="9">
        <f t="shared" si="9"/>
        <v>0</v>
      </c>
      <c r="S87" s="9"/>
      <c r="T87" s="9"/>
      <c r="U87" s="9"/>
      <c r="V87" s="9"/>
      <c r="W87" s="9"/>
      <c r="X87" s="9"/>
      <c r="Y87" s="10">
        <f t="shared" si="8"/>
        <v>79208.240000000005</v>
      </c>
      <c r="Z87" s="11"/>
    </row>
    <row r="88" spans="1:26" ht="38.1" customHeight="1" x14ac:dyDescent="0.25">
      <c r="A88" s="7">
        <f t="shared" si="10"/>
        <v>79</v>
      </c>
      <c r="B88" s="8" t="s">
        <v>82</v>
      </c>
      <c r="C88" s="8" t="s">
        <v>191</v>
      </c>
      <c r="D88" s="9">
        <f t="shared" si="5"/>
        <v>391895726.47072297</v>
      </c>
      <c r="E88" s="9">
        <f>405932929.470723-14037203</f>
        <v>391895726.47072297</v>
      </c>
      <c r="F88" s="9"/>
      <c r="G88" s="9">
        <f t="shared" si="7"/>
        <v>220868985.38740742</v>
      </c>
      <c r="H88" s="9">
        <f>SUM(I88:M88)</f>
        <v>116640955.81</v>
      </c>
      <c r="I88" s="9">
        <v>46766858.207147568</v>
      </c>
      <c r="J88" s="9">
        <v>2018359.1328524277</v>
      </c>
      <c r="K88" s="9">
        <v>28329878.160599999</v>
      </c>
      <c r="L88" s="9">
        <v>640715.56939999922</v>
      </c>
      <c r="M88" s="9">
        <v>38885144.740000002</v>
      </c>
      <c r="N88" s="9">
        <f>30337368.9074074-400000</f>
        <v>29937368.907407399</v>
      </c>
      <c r="O88" s="9">
        <v>31340416.960000001</v>
      </c>
      <c r="P88" s="9">
        <v>23988620.960000001</v>
      </c>
      <c r="Q88" s="9">
        <v>18961622.75</v>
      </c>
      <c r="R88" s="9">
        <f t="shared" si="9"/>
        <v>26283083.608200002</v>
      </c>
      <c r="S88" s="9">
        <v>663092.75340000005</v>
      </c>
      <c r="T88" s="9">
        <f>26312144.8548-692154</f>
        <v>25619990.854800001</v>
      </c>
      <c r="U88" s="9"/>
      <c r="V88" s="9"/>
      <c r="W88" s="9"/>
      <c r="X88" s="9"/>
      <c r="Y88" s="10">
        <f t="shared" si="8"/>
        <v>639047795.46633041</v>
      </c>
      <c r="Z88" s="11"/>
    </row>
    <row r="89" spans="1:26" ht="38.1" customHeight="1" x14ac:dyDescent="0.25">
      <c r="A89" s="7">
        <f t="shared" si="10"/>
        <v>80</v>
      </c>
      <c r="B89" s="8" t="s">
        <v>83</v>
      </c>
      <c r="C89" s="8" t="s">
        <v>192</v>
      </c>
      <c r="D89" s="9">
        <f t="shared" si="5"/>
        <v>41120616.100000001</v>
      </c>
      <c r="E89" s="9">
        <f>43899851.1-2779235</f>
        <v>41120616.100000001</v>
      </c>
      <c r="F89" s="9"/>
      <c r="G89" s="9">
        <f t="shared" si="7"/>
        <v>96780394.30194439</v>
      </c>
      <c r="H89" s="9">
        <f>SUM(I89:M89)</f>
        <v>60082158.669999994</v>
      </c>
      <c r="I89" s="9">
        <v>19306367.360065803</v>
      </c>
      <c r="J89" s="9">
        <v>629997.20993419737</v>
      </c>
      <c r="K89" s="9">
        <v>16771367.333999997</v>
      </c>
      <c r="L89" s="9">
        <v>379078.85600000166</v>
      </c>
      <c r="M89" s="9">
        <v>22995347.909999996</v>
      </c>
      <c r="N89" s="9">
        <f>17012918.3819444-887000</f>
        <v>16125918.381944399</v>
      </c>
      <c r="O89" s="9">
        <v>9953011</v>
      </c>
      <c r="P89" s="9">
        <v>10619306.25</v>
      </c>
      <c r="Q89" s="9"/>
      <c r="R89" s="9">
        <f t="shared" si="9"/>
        <v>31576367.32</v>
      </c>
      <c r="S89" s="9">
        <v>13734306.58</v>
      </c>
      <c r="T89" s="9">
        <v>17842060.739999998</v>
      </c>
      <c r="U89" s="9">
        <f>82111200-2223020</f>
        <v>79888180</v>
      </c>
      <c r="V89" s="9"/>
      <c r="W89" s="9"/>
      <c r="X89" s="9"/>
      <c r="Y89" s="10">
        <f t="shared" si="8"/>
        <v>249365557.72194439</v>
      </c>
      <c r="Z89" s="11"/>
    </row>
    <row r="90" spans="1:26" ht="38.1" customHeight="1" x14ac:dyDescent="0.25">
      <c r="A90" s="7">
        <f t="shared" si="10"/>
        <v>81</v>
      </c>
      <c r="B90" s="8" t="s">
        <v>84</v>
      </c>
      <c r="C90" s="8" t="s">
        <v>193</v>
      </c>
      <c r="D90" s="9">
        <f t="shared" ref="D90:D130" si="11">E90+F90</f>
        <v>141043405.803633</v>
      </c>
      <c r="E90" s="9">
        <f>142519519.803633-1476114</f>
        <v>141043405.803633</v>
      </c>
      <c r="F90" s="9"/>
      <c r="G90" s="9">
        <f t="shared" si="7"/>
        <v>93262990.669074103</v>
      </c>
      <c r="H90" s="9">
        <f>SUM(I90:M90)</f>
        <v>48422332.420000002</v>
      </c>
      <c r="I90" s="9">
        <v>15415093.765998868</v>
      </c>
      <c r="J90" s="9">
        <v>308301.83400113136</v>
      </c>
      <c r="K90" s="9">
        <v>11176138.955600001</v>
      </c>
      <c r="L90" s="9">
        <v>42680.604400001066</v>
      </c>
      <c r="M90" s="9">
        <v>21480117.259999998</v>
      </c>
      <c r="N90" s="9">
        <f>21770321.4490741-1900000</f>
        <v>19870321.449074101</v>
      </c>
      <c r="O90" s="9">
        <v>1753870</v>
      </c>
      <c r="P90" s="9">
        <v>7475991.6000000006</v>
      </c>
      <c r="Q90" s="9">
        <f>14742520+997955.2</f>
        <v>15740475.199999999</v>
      </c>
      <c r="R90" s="9">
        <f t="shared" si="9"/>
        <v>31620042.0678</v>
      </c>
      <c r="S90" s="9">
        <f>27363162.645-5840796</f>
        <v>21522366.645</v>
      </c>
      <c r="T90" s="9">
        <v>10097675.422800001</v>
      </c>
      <c r="U90" s="9"/>
      <c r="V90" s="9"/>
      <c r="W90" s="9"/>
      <c r="X90" s="9"/>
      <c r="Y90" s="10">
        <f t="shared" si="8"/>
        <v>265926438.54050711</v>
      </c>
      <c r="Z90" s="11"/>
    </row>
    <row r="91" spans="1:26" ht="38.1" customHeight="1" x14ac:dyDescent="0.25">
      <c r="A91" s="7">
        <f t="shared" si="10"/>
        <v>82</v>
      </c>
      <c r="B91" s="8" t="s">
        <v>85</v>
      </c>
      <c r="C91" s="8" t="s">
        <v>194</v>
      </c>
      <c r="D91" s="9">
        <f t="shared" si="11"/>
        <v>621211690.41902196</v>
      </c>
      <c r="E91" s="9">
        <f>643256010.419022-22044320</f>
        <v>621211690.41902196</v>
      </c>
      <c r="F91" s="9"/>
      <c r="G91" s="9">
        <f t="shared" si="7"/>
        <v>208222135.77212965</v>
      </c>
      <c r="H91" s="9">
        <f>SUM(I91:M91)</f>
        <v>111788283.58</v>
      </c>
      <c r="I91" s="9">
        <v>35756647.720353007</v>
      </c>
      <c r="J91" s="9">
        <v>1242073.0096469894</v>
      </c>
      <c r="K91" s="9">
        <v>21951933.280400001</v>
      </c>
      <c r="L91" s="9">
        <v>368371.4795999995</v>
      </c>
      <c r="M91" s="9">
        <v>52469258.090000004</v>
      </c>
      <c r="N91" s="9">
        <v>47734289.192129642</v>
      </c>
      <c r="O91" s="9">
        <v>14030960</v>
      </c>
      <c r="P91" s="9">
        <v>26031443</v>
      </c>
      <c r="Q91" s="9">
        <v>8637160</v>
      </c>
      <c r="R91" s="9">
        <f t="shared" si="9"/>
        <v>31444346.649999999</v>
      </c>
      <c r="S91" s="9">
        <f>6819576.01-206251</f>
        <v>6613325.0099999998</v>
      </c>
      <c r="T91" s="9">
        <f>25741549.64-910528</f>
        <v>24831021.640000001</v>
      </c>
      <c r="U91" s="9"/>
      <c r="V91" s="9"/>
      <c r="W91" s="9"/>
      <c r="X91" s="9"/>
      <c r="Y91" s="10">
        <f t="shared" si="8"/>
        <v>860878172.8411516</v>
      </c>
      <c r="Z91" s="11"/>
    </row>
    <row r="92" spans="1:26" ht="38.1" customHeight="1" x14ac:dyDescent="0.25">
      <c r="A92" s="7">
        <f t="shared" si="10"/>
        <v>83</v>
      </c>
      <c r="B92" s="8" t="s">
        <v>86</v>
      </c>
      <c r="C92" s="8" t="s">
        <v>190</v>
      </c>
      <c r="D92" s="9">
        <f t="shared" si="11"/>
        <v>176327664.44</v>
      </c>
      <c r="E92" s="9">
        <f>181297070.44-4969406</f>
        <v>176327664.44</v>
      </c>
      <c r="F92" s="9"/>
      <c r="G92" s="9">
        <f t="shared" si="7"/>
        <v>81039637.36999999</v>
      </c>
      <c r="H92" s="9"/>
      <c r="I92" s="9"/>
      <c r="J92" s="9"/>
      <c r="K92" s="9"/>
      <c r="L92" s="9"/>
      <c r="M92" s="9"/>
      <c r="N92" s="9"/>
      <c r="O92" s="9"/>
      <c r="P92" s="9">
        <f>85555154-2181816-2502946.65</f>
        <v>80870391.349999994</v>
      </c>
      <c r="Q92" s="9">
        <f>189454.5-20208.48</f>
        <v>169246.02</v>
      </c>
      <c r="R92" s="9">
        <f t="shared" si="9"/>
        <v>4824153.34</v>
      </c>
      <c r="S92" s="9"/>
      <c r="T92" s="9">
        <f>4961986.34-137833</f>
        <v>4824153.34</v>
      </c>
      <c r="U92" s="9"/>
      <c r="V92" s="9"/>
      <c r="W92" s="9"/>
      <c r="X92" s="9"/>
      <c r="Y92" s="10">
        <f t="shared" si="8"/>
        <v>262191455.14999998</v>
      </c>
      <c r="Z92" s="11"/>
    </row>
    <row r="93" spans="1:26" ht="38.1" customHeight="1" x14ac:dyDescent="0.25">
      <c r="A93" s="7">
        <f t="shared" si="10"/>
        <v>84</v>
      </c>
      <c r="B93" s="8" t="s">
        <v>87</v>
      </c>
      <c r="C93" s="8" t="s">
        <v>189</v>
      </c>
      <c r="D93" s="9">
        <f t="shared" si="11"/>
        <v>173661097.037</v>
      </c>
      <c r="E93" s="9">
        <f>153281719.86+9618775</f>
        <v>162900494.86000001</v>
      </c>
      <c r="F93" s="9">
        <v>10760602.177000001</v>
      </c>
      <c r="G93" s="9">
        <f t="shared" si="7"/>
        <v>29229268.16</v>
      </c>
      <c r="H93" s="9"/>
      <c r="I93" s="9"/>
      <c r="J93" s="9"/>
      <c r="K93" s="9"/>
      <c r="L93" s="9"/>
      <c r="M93" s="9"/>
      <c r="N93" s="9"/>
      <c r="O93" s="9"/>
      <c r="P93" s="9">
        <v>15921360</v>
      </c>
      <c r="Q93" s="9">
        <v>13307908.16</v>
      </c>
      <c r="R93" s="9">
        <f t="shared" si="9"/>
        <v>24958851.25</v>
      </c>
      <c r="S93" s="9">
        <v>15851952.16</v>
      </c>
      <c r="T93" s="9">
        <v>9106899.0899999999</v>
      </c>
      <c r="U93" s="9"/>
      <c r="V93" s="9"/>
      <c r="W93" s="9"/>
      <c r="X93" s="9"/>
      <c r="Y93" s="10">
        <f t="shared" si="8"/>
        <v>227849216.447</v>
      </c>
      <c r="Z93" s="11"/>
    </row>
    <row r="94" spans="1:26" ht="38.1" customHeight="1" x14ac:dyDescent="0.25">
      <c r="A94" s="7">
        <f t="shared" si="10"/>
        <v>85</v>
      </c>
      <c r="B94" s="8" t="s">
        <v>88</v>
      </c>
      <c r="C94" s="8" t="s">
        <v>188</v>
      </c>
      <c r="D94" s="9">
        <f t="shared" si="11"/>
        <v>129816820.91341598</v>
      </c>
      <c r="E94" s="9">
        <v>129816820.91341598</v>
      </c>
      <c r="F94" s="9"/>
      <c r="G94" s="9">
        <f t="shared" si="7"/>
        <v>263860893.94</v>
      </c>
      <c r="H94" s="9">
        <f>SUM(I94:M94)</f>
        <v>133377519.97999999</v>
      </c>
      <c r="I94" s="9">
        <v>53780642.682750151</v>
      </c>
      <c r="J94" s="9">
        <v>1670030.5072498471</v>
      </c>
      <c r="K94" s="9">
        <v>32582010.196399994</v>
      </c>
      <c r="L94" s="9">
        <v>546752.92360000871</v>
      </c>
      <c r="M94" s="9">
        <v>44798083.670000002</v>
      </c>
      <c r="N94" s="9">
        <v>3497679.25</v>
      </c>
      <c r="O94" s="9">
        <f>74289811+12500000</f>
        <v>86789811</v>
      </c>
      <c r="P94" s="9">
        <v>22676365.43</v>
      </c>
      <c r="Q94" s="9">
        <f>20231099.6-2711581.32</f>
        <v>17519518.280000001</v>
      </c>
      <c r="R94" s="9">
        <f t="shared" si="9"/>
        <v>18269765.257799998</v>
      </c>
      <c r="S94" s="9">
        <v>3914455.8935999996</v>
      </c>
      <c r="T94" s="9">
        <v>14355309.3642</v>
      </c>
      <c r="U94" s="9"/>
      <c r="V94" s="9"/>
      <c r="W94" s="9"/>
      <c r="X94" s="9"/>
      <c r="Y94" s="10">
        <f t="shared" si="8"/>
        <v>411947480.11121595</v>
      </c>
      <c r="Z94" s="11"/>
    </row>
    <row r="95" spans="1:26" ht="58.5" customHeight="1" x14ac:dyDescent="0.25">
      <c r="A95" s="7">
        <f t="shared" si="10"/>
        <v>86</v>
      </c>
      <c r="B95" s="8" t="s">
        <v>89</v>
      </c>
      <c r="C95" s="8" t="s">
        <v>187</v>
      </c>
      <c r="D95" s="9">
        <f t="shared" si="11"/>
        <v>0</v>
      </c>
      <c r="E95" s="9"/>
      <c r="F95" s="9"/>
      <c r="G95" s="9">
        <f t="shared" si="7"/>
        <v>259113890.98105264</v>
      </c>
      <c r="H95" s="9"/>
      <c r="I95" s="9"/>
      <c r="J95" s="9"/>
      <c r="K95" s="9"/>
      <c r="L95" s="9"/>
      <c r="M95" s="9"/>
      <c r="N95" s="9"/>
      <c r="O95" s="9"/>
      <c r="P95" s="9">
        <v>136269891.63105264</v>
      </c>
      <c r="Q95" s="9">
        <f>122970581.35-126582</f>
        <v>122843999.34999999</v>
      </c>
      <c r="R95" s="9">
        <f t="shared" si="9"/>
        <v>0</v>
      </c>
      <c r="S95" s="9"/>
      <c r="T95" s="9"/>
      <c r="U95" s="9"/>
      <c r="V95" s="9"/>
      <c r="W95" s="9"/>
      <c r="X95" s="9"/>
      <c r="Y95" s="10">
        <f t="shared" si="8"/>
        <v>259113890.98105264</v>
      </c>
      <c r="Z95" s="11"/>
    </row>
    <row r="96" spans="1:26" ht="38.1" customHeight="1" x14ac:dyDescent="0.25">
      <c r="A96" s="7">
        <f t="shared" si="10"/>
        <v>87</v>
      </c>
      <c r="B96" s="8" t="s">
        <v>90</v>
      </c>
      <c r="C96" s="8" t="s">
        <v>186</v>
      </c>
      <c r="D96" s="9">
        <f t="shared" si="11"/>
        <v>0</v>
      </c>
      <c r="E96" s="9"/>
      <c r="F96" s="9"/>
      <c r="G96" s="9">
        <f t="shared" si="7"/>
        <v>63829135.278518498</v>
      </c>
      <c r="H96" s="9">
        <f>SUM(I96:M96)</f>
        <v>44203383.259999998</v>
      </c>
      <c r="I96" s="9">
        <v>16623969.516000001</v>
      </c>
      <c r="J96" s="9">
        <v>691207.06399999745</v>
      </c>
      <c r="K96" s="9">
        <v>11193222.451199997</v>
      </c>
      <c r="L96" s="9">
        <v>306663.62880000001</v>
      </c>
      <c r="M96" s="9">
        <v>15388320.6</v>
      </c>
      <c r="N96" s="9">
        <f>13746189.0185185+526000</f>
        <v>14272189.0185185</v>
      </c>
      <c r="O96" s="9">
        <v>175387</v>
      </c>
      <c r="P96" s="9">
        <v>5178176</v>
      </c>
      <c r="Q96" s="9"/>
      <c r="R96" s="9">
        <f t="shared" si="9"/>
        <v>13234620.6</v>
      </c>
      <c r="S96" s="9"/>
      <c r="T96" s="9">
        <v>13234620.6</v>
      </c>
      <c r="U96" s="9"/>
      <c r="V96" s="9"/>
      <c r="W96" s="9"/>
      <c r="X96" s="9"/>
      <c r="Y96" s="10">
        <f t="shared" si="8"/>
        <v>77063755.878518492</v>
      </c>
      <c r="Z96" s="11"/>
    </row>
    <row r="97" spans="1:26" ht="38.1" customHeight="1" x14ac:dyDescent="0.25">
      <c r="A97" s="7">
        <f t="shared" si="10"/>
        <v>88</v>
      </c>
      <c r="B97" s="12" t="s">
        <v>91</v>
      </c>
      <c r="C97" s="12" t="s">
        <v>184</v>
      </c>
      <c r="D97" s="9">
        <f t="shared" si="11"/>
        <v>0</v>
      </c>
      <c r="E97" s="9"/>
      <c r="F97" s="9"/>
      <c r="G97" s="9">
        <f t="shared" si="7"/>
        <v>58116865.939999998</v>
      </c>
      <c r="H97" s="9"/>
      <c r="I97" s="9"/>
      <c r="J97" s="9"/>
      <c r="K97" s="9"/>
      <c r="L97" s="9"/>
      <c r="M97" s="9"/>
      <c r="N97" s="9"/>
      <c r="O97" s="9"/>
      <c r="P97" s="9">
        <f>58253322.54-136456.6</f>
        <v>58116865.939999998</v>
      </c>
      <c r="Q97" s="9"/>
      <c r="R97" s="9">
        <f t="shared" si="9"/>
        <v>0</v>
      </c>
      <c r="S97" s="9"/>
      <c r="T97" s="9"/>
      <c r="U97" s="9"/>
      <c r="V97" s="9"/>
      <c r="W97" s="9"/>
      <c r="X97" s="9"/>
      <c r="Y97" s="10">
        <f t="shared" si="8"/>
        <v>58116865.939999998</v>
      </c>
      <c r="Z97" s="11"/>
    </row>
    <row r="98" spans="1:26" ht="38.1" customHeight="1" x14ac:dyDescent="0.25">
      <c r="A98" s="7">
        <f t="shared" si="10"/>
        <v>89</v>
      </c>
      <c r="B98" s="8" t="s">
        <v>92</v>
      </c>
      <c r="C98" s="8" t="s">
        <v>185</v>
      </c>
      <c r="D98" s="9">
        <f t="shared" si="11"/>
        <v>0</v>
      </c>
      <c r="E98" s="9"/>
      <c r="F98" s="9"/>
      <c r="G98" s="9">
        <f t="shared" si="7"/>
        <v>44130770.25</v>
      </c>
      <c r="H98" s="9"/>
      <c r="I98" s="9"/>
      <c r="J98" s="9"/>
      <c r="K98" s="9"/>
      <c r="L98" s="9"/>
      <c r="M98" s="9"/>
      <c r="N98" s="9"/>
      <c r="O98" s="9"/>
      <c r="P98" s="9">
        <f>44254287-123516.75</f>
        <v>44130770.25</v>
      </c>
      <c r="Q98" s="9"/>
      <c r="R98" s="9">
        <f t="shared" si="9"/>
        <v>0</v>
      </c>
      <c r="S98" s="9"/>
      <c r="T98" s="9"/>
      <c r="U98" s="9"/>
      <c r="V98" s="9"/>
      <c r="W98" s="9"/>
      <c r="X98" s="9"/>
      <c r="Y98" s="10">
        <f t="shared" si="8"/>
        <v>44130770.25</v>
      </c>
      <c r="Z98" s="11"/>
    </row>
    <row r="99" spans="1:26" ht="38.1" customHeight="1" x14ac:dyDescent="0.25">
      <c r="A99" s="7">
        <f t="shared" si="10"/>
        <v>90</v>
      </c>
      <c r="B99" s="8" t="s">
        <v>93</v>
      </c>
      <c r="C99" s="8" t="s">
        <v>183</v>
      </c>
      <c r="D99" s="9">
        <f t="shared" si="11"/>
        <v>0</v>
      </c>
      <c r="E99" s="9"/>
      <c r="F99" s="9"/>
      <c r="G99" s="9">
        <f t="shared" si="7"/>
        <v>42348600</v>
      </c>
      <c r="H99" s="9"/>
      <c r="I99" s="9"/>
      <c r="J99" s="9"/>
      <c r="K99" s="9"/>
      <c r="L99" s="9"/>
      <c r="M99" s="9"/>
      <c r="N99" s="9"/>
      <c r="O99" s="9"/>
      <c r="P99" s="9">
        <v>42348600</v>
      </c>
      <c r="Q99" s="9"/>
      <c r="R99" s="9">
        <f t="shared" si="9"/>
        <v>0</v>
      </c>
      <c r="S99" s="9"/>
      <c r="T99" s="9"/>
      <c r="U99" s="9"/>
      <c r="V99" s="9"/>
      <c r="W99" s="9"/>
      <c r="X99" s="9"/>
      <c r="Y99" s="10">
        <f t="shared" si="8"/>
        <v>42348600</v>
      </c>
      <c r="Z99" s="11"/>
    </row>
    <row r="100" spans="1:26" ht="38.1" customHeight="1" x14ac:dyDescent="0.25">
      <c r="A100" s="7">
        <f t="shared" si="10"/>
        <v>91</v>
      </c>
      <c r="B100" s="8" t="s">
        <v>94</v>
      </c>
      <c r="C100" s="8">
        <v>4346004</v>
      </c>
      <c r="D100" s="9">
        <f t="shared" si="11"/>
        <v>45752462.964157999</v>
      </c>
      <c r="E100" s="9">
        <f>44508047.994158+1244414.97</f>
        <v>45752462.964157999</v>
      </c>
      <c r="F100" s="9"/>
      <c r="G100" s="9">
        <f t="shared" si="7"/>
        <v>53381858.320992596</v>
      </c>
      <c r="H100" s="9">
        <f>SUM(I100:M100)</f>
        <v>30218259.228399996</v>
      </c>
      <c r="I100" s="9">
        <v>12479408.1678</v>
      </c>
      <c r="J100" s="9">
        <v>131362.13219999708</v>
      </c>
      <c r="K100" s="9">
        <v>7411218.4784000004</v>
      </c>
      <c r="L100" s="9"/>
      <c r="M100" s="9">
        <v>10196270.449999999</v>
      </c>
      <c r="N100" s="9">
        <f>16402007.8425926-1000000</f>
        <v>15402007.842592601</v>
      </c>
      <c r="O100" s="9">
        <f>5687049.25-1000000</f>
        <v>4687049.25</v>
      </c>
      <c r="P100" s="9">
        <f>3479087-404545</f>
        <v>3074542</v>
      </c>
      <c r="Q100" s="9"/>
      <c r="R100" s="9">
        <f t="shared" si="9"/>
        <v>26145582.865400001</v>
      </c>
      <c r="S100" s="9">
        <v>12224786.640000001</v>
      </c>
      <c r="T100" s="9">
        <f>13107913.9254+812882.3</f>
        <v>13920796.225400001</v>
      </c>
      <c r="U100" s="9"/>
      <c r="V100" s="9"/>
      <c r="W100" s="9"/>
      <c r="X100" s="9"/>
      <c r="Y100" s="10">
        <f t="shared" si="8"/>
        <v>125279904.1505506</v>
      </c>
      <c r="Z100" s="11"/>
    </row>
    <row r="101" spans="1:26" ht="38.1" customHeight="1" x14ac:dyDescent="0.25">
      <c r="A101" s="7">
        <f t="shared" si="10"/>
        <v>92</v>
      </c>
      <c r="B101" s="8" t="s">
        <v>95</v>
      </c>
      <c r="C101" s="8" t="s">
        <v>181</v>
      </c>
      <c r="D101" s="9">
        <f t="shared" si="11"/>
        <v>2508583.73</v>
      </c>
      <c r="E101" s="9">
        <v>2508583.73</v>
      </c>
      <c r="F101" s="9"/>
      <c r="G101" s="9">
        <f t="shared" si="7"/>
        <v>16938455.925370369</v>
      </c>
      <c r="H101" s="9">
        <f>SUM(I101:M101)</f>
        <v>11574232.629999999</v>
      </c>
      <c r="I101" s="9">
        <v>4596159.5219232012</v>
      </c>
      <c r="J101" s="9">
        <v>149979.94807679765</v>
      </c>
      <c r="K101" s="9">
        <v>2851714.4567999998</v>
      </c>
      <c r="L101" s="9">
        <v>61526.72319999984</v>
      </c>
      <c r="M101" s="9">
        <v>3914851.9800000004</v>
      </c>
      <c r="N101" s="9">
        <f>4513084.74537037-140000</f>
        <v>4373084.7453703703</v>
      </c>
      <c r="O101" s="9">
        <f>701548-30000</f>
        <v>671548</v>
      </c>
      <c r="P101" s="9">
        <f>388363.2-68772.65</f>
        <v>319590.55000000005</v>
      </c>
      <c r="Q101" s="9"/>
      <c r="R101" s="9">
        <f t="shared" si="9"/>
        <v>4605945.5599999996</v>
      </c>
      <c r="S101" s="9"/>
      <c r="T101" s="9">
        <v>4605945.5599999996</v>
      </c>
      <c r="U101" s="9"/>
      <c r="V101" s="9"/>
      <c r="W101" s="9"/>
      <c r="X101" s="9"/>
      <c r="Y101" s="10">
        <f t="shared" si="8"/>
        <v>24052985.215370368</v>
      </c>
      <c r="Z101" s="11"/>
    </row>
    <row r="102" spans="1:26" ht="57" customHeight="1" x14ac:dyDescent="0.25">
      <c r="A102" s="7">
        <f t="shared" si="10"/>
        <v>93</v>
      </c>
      <c r="B102" s="8" t="s">
        <v>96</v>
      </c>
      <c r="C102" s="8" t="s">
        <v>180</v>
      </c>
      <c r="D102" s="9">
        <f t="shared" si="11"/>
        <v>0</v>
      </c>
      <c r="E102" s="9"/>
      <c r="F102" s="9"/>
      <c r="G102" s="9">
        <f t="shared" si="7"/>
        <v>0</v>
      </c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>
        <f t="shared" si="9"/>
        <v>0</v>
      </c>
      <c r="S102" s="9"/>
      <c r="T102" s="9"/>
      <c r="U102" s="9"/>
      <c r="V102" s="9">
        <f>W102+X102</f>
        <v>326354462.96999997</v>
      </c>
      <c r="W102" s="9">
        <v>322200489.76999998</v>
      </c>
      <c r="X102" s="9">
        <v>4153973.2</v>
      </c>
      <c r="Y102" s="10">
        <f t="shared" si="8"/>
        <v>326354462.96999997</v>
      </c>
      <c r="Z102" s="11"/>
    </row>
    <row r="103" spans="1:26" ht="38.1" customHeight="1" x14ac:dyDescent="0.25">
      <c r="A103" s="7">
        <f t="shared" si="10"/>
        <v>94</v>
      </c>
      <c r="B103" s="8" t="s">
        <v>97</v>
      </c>
      <c r="C103" s="8" t="s">
        <v>179</v>
      </c>
      <c r="D103" s="9">
        <f t="shared" si="11"/>
        <v>0</v>
      </c>
      <c r="E103" s="9"/>
      <c r="F103" s="9"/>
      <c r="G103" s="9">
        <f t="shared" si="7"/>
        <v>211743</v>
      </c>
      <c r="H103" s="9"/>
      <c r="I103" s="9"/>
      <c r="J103" s="9"/>
      <c r="K103" s="9"/>
      <c r="L103" s="9"/>
      <c r="M103" s="9"/>
      <c r="N103" s="9"/>
      <c r="O103" s="9"/>
      <c r="P103" s="9">
        <v>211743</v>
      </c>
      <c r="Q103" s="9"/>
      <c r="R103" s="9">
        <f t="shared" si="9"/>
        <v>0</v>
      </c>
      <c r="S103" s="9"/>
      <c r="T103" s="9"/>
      <c r="U103" s="9"/>
      <c r="V103" s="9"/>
      <c r="W103" s="9"/>
      <c r="X103" s="9"/>
      <c r="Y103" s="10">
        <f t="shared" si="8"/>
        <v>211743</v>
      </c>
      <c r="Z103" s="11"/>
    </row>
    <row r="104" spans="1:26" ht="38.1" customHeight="1" x14ac:dyDescent="0.25">
      <c r="A104" s="7">
        <f t="shared" si="10"/>
        <v>95</v>
      </c>
      <c r="B104" s="8" t="s">
        <v>98</v>
      </c>
      <c r="C104" s="8" t="s">
        <v>178</v>
      </c>
      <c r="D104" s="9">
        <f t="shared" si="11"/>
        <v>0</v>
      </c>
      <c r="E104" s="9"/>
      <c r="F104" s="9"/>
      <c r="G104" s="9">
        <f t="shared" si="7"/>
        <v>211743</v>
      </c>
      <c r="H104" s="9"/>
      <c r="I104" s="9"/>
      <c r="J104" s="9"/>
      <c r="K104" s="9"/>
      <c r="L104" s="9"/>
      <c r="M104" s="9"/>
      <c r="N104" s="9"/>
      <c r="O104" s="9"/>
      <c r="P104" s="9">
        <v>211743</v>
      </c>
      <c r="Q104" s="9"/>
      <c r="R104" s="9">
        <f t="shared" si="9"/>
        <v>0</v>
      </c>
      <c r="S104" s="9"/>
      <c r="T104" s="9"/>
      <c r="U104" s="9"/>
      <c r="V104" s="9"/>
      <c r="W104" s="9"/>
      <c r="X104" s="9"/>
      <c r="Y104" s="10">
        <f t="shared" si="8"/>
        <v>211743</v>
      </c>
      <c r="Z104" s="11"/>
    </row>
    <row r="105" spans="1:26" ht="38.1" customHeight="1" x14ac:dyDescent="0.25">
      <c r="A105" s="7">
        <f t="shared" si="10"/>
        <v>96</v>
      </c>
      <c r="B105" s="8" t="s">
        <v>135</v>
      </c>
      <c r="C105" s="8" t="s">
        <v>177</v>
      </c>
      <c r="D105" s="9">
        <f t="shared" si="11"/>
        <v>0</v>
      </c>
      <c r="E105" s="9"/>
      <c r="F105" s="9"/>
      <c r="G105" s="9">
        <f t="shared" si="7"/>
        <v>0</v>
      </c>
      <c r="H105" s="9"/>
      <c r="I105" s="9"/>
      <c r="J105" s="9"/>
      <c r="K105" s="9"/>
      <c r="L105" s="9"/>
      <c r="M105" s="9"/>
      <c r="N105" s="9"/>
      <c r="O105" s="9"/>
      <c r="P105" s="9">
        <v>0</v>
      </c>
      <c r="Q105" s="9"/>
      <c r="R105" s="9">
        <f t="shared" si="9"/>
        <v>0</v>
      </c>
      <c r="S105" s="9"/>
      <c r="T105" s="9"/>
      <c r="U105" s="9"/>
      <c r="V105" s="9"/>
      <c r="W105" s="9"/>
      <c r="X105" s="9"/>
      <c r="Y105" s="10">
        <f t="shared" si="8"/>
        <v>0</v>
      </c>
      <c r="Z105" s="11"/>
    </row>
    <row r="106" spans="1:26" ht="38.1" customHeight="1" x14ac:dyDescent="0.25">
      <c r="A106" s="7">
        <f t="shared" si="10"/>
        <v>97</v>
      </c>
      <c r="B106" s="8" t="s">
        <v>99</v>
      </c>
      <c r="C106" s="8" t="s">
        <v>176</v>
      </c>
      <c r="D106" s="9">
        <f t="shared" si="11"/>
        <v>16144395.76</v>
      </c>
      <c r="E106" s="9">
        <v>16144395.76</v>
      </c>
      <c r="F106" s="9"/>
      <c r="G106" s="9">
        <f t="shared" si="7"/>
        <v>46950445.032222219</v>
      </c>
      <c r="H106" s="9">
        <f t="shared" ref="H106:H112" si="12">SUM(I106:M106)</f>
        <v>28012862.009999998</v>
      </c>
      <c r="I106" s="9">
        <v>11045890.409815799</v>
      </c>
      <c r="J106" s="9">
        <v>499971.91018420085</v>
      </c>
      <c r="K106" s="9">
        <v>6866956.6678999998</v>
      </c>
      <c r="L106" s="9">
        <v>188264.14210000003</v>
      </c>
      <c r="M106" s="9">
        <v>9411778.879999999</v>
      </c>
      <c r="N106" s="9">
        <v>5220959.4222222231</v>
      </c>
      <c r="O106" s="9">
        <f>6686646+800000</f>
        <v>7486646</v>
      </c>
      <c r="P106" s="9">
        <v>6229977.5999999996</v>
      </c>
      <c r="Q106" s="9"/>
      <c r="R106" s="9">
        <f t="shared" si="9"/>
        <v>9875537.4100000001</v>
      </c>
      <c r="S106" s="9">
        <v>221418.4</v>
      </c>
      <c r="T106" s="9">
        <v>9654119.0099999998</v>
      </c>
      <c r="U106" s="9"/>
      <c r="V106" s="9">
        <f t="shared" ref="V106:V130" si="13">W106+X106</f>
        <v>7194910.2199999997</v>
      </c>
      <c r="W106" s="9">
        <v>7089815.6200000001</v>
      </c>
      <c r="X106" s="9">
        <v>105094.6</v>
      </c>
      <c r="Y106" s="10">
        <f t="shared" si="8"/>
        <v>80165288.422222227</v>
      </c>
      <c r="Z106" s="11"/>
    </row>
    <row r="107" spans="1:26" ht="38.1" customHeight="1" x14ac:dyDescent="0.25">
      <c r="A107" s="7">
        <f t="shared" si="10"/>
        <v>98</v>
      </c>
      <c r="B107" s="21" t="s">
        <v>100</v>
      </c>
      <c r="C107" s="21" t="s">
        <v>175</v>
      </c>
      <c r="D107" s="9">
        <f t="shared" si="11"/>
        <v>52897274.669050008</v>
      </c>
      <c r="E107" s="9">
        <v>52897274.669050008</v>
      </c>
      <c r="F107" s="9"/>
      <c r="G107" s="9">
        <f t="shared" si="7"/>
        <v>171481675.70222223</v>
      </c>
      <c r="H107" s="9">
        <f t="shared" si="12"/>
        <v>103231013.88</v>
      </c>
      <c r="I107" s="9">
        <v>41303083.049289607</v>
      </c>
      <c r="J107" s="9">
        <v>1565169.450710386</v>
      </c>
      <c r="K107" s="9">
        <v>25209851.185599998</v>
      </c>
      <c r="L107" s="9">
        <v>483476.60440000187</v>
      </c>
      <c r="M107" s="9">
        <v>34669433.590000004</v>
      </c>
      <c r="N107" s="9">
        <v>22375073.962222219</v>
      </c>
      <c r="O107" s="9">
        <f>26783235.86-1000000</f>
        <v>25783235.859999999</v>
      </c>
      <c r="P107" s="9">
        <v>20092352</v>
      </c>
      <c r="Q107" s="9"/>
      <c r="R107" s="9">
        <f t="shared" si="9"/>
        <v>17113289.75</v>
      </c>
      <c r="S107" s="9">
        <v>8869052.4000000004</v>
      </c>
      <c r="T107" s="9">
        <v>8244237.3499999996</v>
      </c>
      <c r="U107" s="9"/>
      <c r="V107" s="9">
        <f t="shared" si="13"/>
        <v>30751669.890000001</v>
      </c>
      <c r="W107" s="9">
        <v>30226196.890000001</v>
      </c>
      <c r="X107" s="9">
        <v>525473</v>
      </c>
      <c r="Y107" s="10">
        <f t="shared" si="8"/>
        <v>272243910.01127219</v>
      </c>
      <c r="Z107" s="11"/>
    </row>
    <row r="108" spans="1:26" ht="38.1" customHeight="1" x14ac:dyDescent="0.25">
      <c r="A108" s="7">
        <f t="shared" si="10"/>
        <v>99</v>
      </c>
      <c r="B108" s="12" t="s">
        <v>101</v>
      </c>
      <c r="C108" s="12" t="s">
        <v>174</v>
      </c>
      <c r="D108" s="9">
        <f t="shared" si="11"/>
        <v>65445333.600055605</v>
      </c>
      <c r="E108" s="9">
        <f>74022964.6000556-8577631</f>
        <v>65445333.600055605</v>
      </c>
      <c r="F108" s="9"/>
      <c r="G108" s="9">
        <f t="shared" si="7"/>
        <v>81123641.881111115</v>
      </c>
      <c r="H108" s="9">
        <f t="shared" si="12"/>
        <v>57974468.820000008</v>
      </c>
      <c r="I108" s="9">
        <v>21122090.613465194</v>
      </c>
      <c r="J108" s="9">
        <v>655896.47653480992</v>
      </c>
      <c r="K108" s="9">
        <v>14320256.6708</v>
      </c>
      <c r="L108" s="9">
        <v>154482.20920000019</v>
      </c>
      <c r="M108" s="9">
        <v>21721742.850000001</v>
      </c>
      <c r="N108" s="9">
        <v>6830320.8211111119</v>
      </c>
      <c r="O108" s="9">
        <v>9440930</v>
      </c>
      <c r="P108" s="9">
        <f>7268981.44-391059.2</f>
        <v>6877922.2400000002</v>
      </c>
      <c r="Q108" s="9"/>
      <c r="R108" s="9">
        <f t="shared" si="9"/>
        <v>12825937.6</v>
      </c>
      <c r="S108" s="9">
        <v>6865354.2699999996</v>
      </c>
      <c r="T108" s="9">
        <v>5960583.3300000001</v>
      </c>
      <c r="U108" s="9"/>
      <c r="V108" s="9">
        <f t="shared" si="13"/>
        <v>12311881.380000001</v>
      </c>
      <c r="W108" s="9">
        <v>11786408.380000001</v>
      </c>
      <c r="X108" s="9">
        <v>525473</v>
      </c>
      <c r="Y108" s="10">
        <f t="shared" si="8"/>
        <v>171706794.46116674</v>
      </c>
      <c r="Z108" s="11"/>
    </row>
    <row r="109" spans="1:26" ht="38.1" customHeight="1" x14ac:dyDescent="0.25">
      <c r="A109" s="7">
        <f t="shared" si="10"/>
        <v>100</v>
      </c>
      <c r="B109" s="12" t="s">
        <v>102</v>
      </c>
      <c r="C109" s="12" t="s">
        <v>173</v>
      </c>
      <c r="D109" s="9">
        <f t="shared" si="11"/>
        <v>60153946.8280598</v>
      </c>
      <c r="E109" s="9">
        <f>64084136.8280598-3930190</f>
        <v>60153946.8280598</v>
      </c>
      <c r="F109" s="9"/>
      <c r="G109" s="9">
        <f t="shared" si="7"/>
        <v>103270583.30101851</v>
      </c>
      <c r="H109" s="9">
        <f t="shared" si="12"/>
        <v>83975094.449999988</v>
      </c>
      <c r="I109" s="9">
        <v>32742138.419374987</v>
      </c>
      <c r="J109" s="9">
        <v>1120125.8006250113</v>
      </c>
      <c r="K109" s="9">
        <v>19750298.2192</v>
      </c>
      <c r="L109" s="9">
        <v>236733.03079999518</v>
      </c>
      <c r="M109" s="9">
        <v>30125798.98</v>
      </c>
      <c r="N109" s="9">
        <f>9468496.73101852-900000</f>
        <v>8568496.7310185209</v>
      </c>
      <c r="O109" s="9">
        <f>9271651-2700000</f>
        <v>6571651</v>
      </c>
      <c r="P109" s="9">
        <f>8335629.12-4180288</f>
        <v>4155341.12</v>
      </c>
      <c r="Q109" s="9"/>
      <c r="R109" s="9">
        <f t="shared" si="9"/>
        <v>14647242.32</v>
      </c>
      <c r="S109" s="9">
        <v>8328929.8899999997</v>
      </c>
      <c r="T109" s="9">
        <v>6318312.4299999997</v>
      </c>
      <c r="U109" s="9">
        <v>5099976</v>
      </c>
      <c r="V109" s="9">
        <f t="shared" si="13"/>
        <v>13246367.869999999</v>
      </c>
      <c r="W109" s="9">
        <v>12720894.869999999</v>
      </c>
      <c r="X109" s="9">
        <v>525473</v>
      </c>
      <c r="Y109" s="10">
        <f t="shared" si="8"/>
        <v>196418116.3190783</v>
      </c>
      <c r="Z109" s="11"/>
    </row>
    <row r="110" spans="1:26" ht="38.1" customHeight="1" x14ac:dyDescent="0.25">
      <c r="A110" s="7">
        <f t="shared" si="10"/>
        <v>101</v>
      </c>
      <c r="B110" s="8" t="s">
        <v>103</v>
      </c>
      <c r="C110" s="8" t="s">
        <v>172</v>
      </c>
      <c r="D110" s="9">
        <f t="shared" si="11"/>
        <v>141560186.22999999</v>
      </c>
      <c r="E110" s="9">
        <v>141560186.22999999</v>
      </c>
      <c r="F110" s="9"/>
      <c r="G110" s="9">
        <f t="shared" si="7"/>
        <v>252369070.82916668</v>
      </c>
      <c r="H110" s="9">
        <f t="shared" si="12"/>
        <v>189469307.92000002</v>
      </c>
      <c r="I110" s="9">
        <v>72422629.689496994</v>
      </c>
      <c r="J110" s="9">
        <v>1829624.2705030143</v>
      </c>
      <c r="K110" s="9">
        <v>48235427.4692</v>
      </c>
      <c r="L110" s="9">
        <v>693797.26080000133</v>
      </c>
      <c r="M110" s="9">
        <v>66287829.229999997</v>
      </c>
      <c r="N110" s="9">
        <v>17131553.309166666</v>
      </c>
      <c r="O110" s="9">
        <v>21420092</v>
      </c>
      <c r="P110" s="9">
        <v>22688176</v>
      </c>
      <c r="Q110" s="9">
        <v>1659941.6</v>
      </c>
      <c r="R110" s="9">
        <f t="shared" si="9"/>
        <v>43635338.780000001</v>
      </c>
      <c r="S110" s="9">
        <v>17413726.84</v>
      </c>
      <c r="T110" s="9">
        <f>23600156.94+2621455</f>
        <v>26221611.940000001</v>
      </c>
      <c r="U110" s="9"/>
      <c r="V110" s="9">
        <f t="shared" si="13"/>
        <v>27786155.420000002</v>
      </c>
      <c r="W110" s="9">
        <v>26405209.420000002</v>
      </c>
      <c r="X110" s="9">
        <v>1380946</v>
      </c>
      <c r="Y110" s="10">
        <f t="shared" si="8"/>
        <v>465350751.25916672</v>
      </c>
      <c r="Z110" s="11"/>
    </row>
    <row r="111" spans="1:26" ht="38.1" customHeight="1" x14ac:dyDescent="0.25">
      <c r="A111" s="7">
        <f t="shared" si="10"/>
        <v>102</v>
      </c>
      <c r="B111" s="8" t="s">
        <v>104</v>
      </c>
      <c r="C111" s="8" t="s">
        <v>171</v>
      </c>
      <c r="D111" s="9">
        <f t="shared" si="11"/>
        <v>54760243.3856925</v>
      </c>
      <c r="E111" s="9">
        <f>58643274.8056925-3883031.42</f>
        <v>54760243.3856925</v>
      </c>
      <c r="F111" s="9"/>
      <c r="G111" s="9">
        <f t="shared" si="7"/>
        <v>74674004.061851844</v>
      </c>
      <c r="H111" s="9">
        <f t="shared" si="12"/>
        <v>55666715.469999999</v>
      </c>
      <c r="I111" s="9">
        <v>20490654.658273797</v>
      </c>
      <c r="J111" s="9">
        <v>409813.08172620088</v>
      </c>
      <c r="K111" s="9">
        <v>13422476.711999999</v>
      </c>
      <c r="L111" s="9">
        <v>64354.347999998834</v>
      </c>
      <c r="M111" s="9">
        <v>21279416.670000002</v>
      </c>
      <c r="N111" s="9">
        <f>7314759.39185185-1775000</f>
        <v>5539759.3918518499</v>
      </c>
      <c r="O111" s="9">
        <v>8447812.4000000004</v>
      </c>
      <c r="P111" s="9">
        <f>5191648-171931.2</f>
        <v>5019716.8</v>
      </c>
      <c r="Q111" s="9"/>
      <c r="R111" s="9">
        <f t="shared" si="9"/>
        <v>13210790.439999999</v>
      </c>
      <c r="S111" s="9"/>
      <c r="T111" s="9">
        <f>13639373.44-428583</f>
        <v>13210790.439999999</v>
      </c>
      <c r="U111" s="9"/>
      <c r="V111" s="9">
        <f t="shared" si="13"/>
        <v>11574505.470000001</v>
      </c>
      <c r="W111" s="9">
        <v>11311768.970000001</v>
      </c>
      <c r="X111" s="9">
        <v>262736.5</v>
      </c>
      <c r="Y111" s="10">
        <f t="shared" si="8"/>
        <v>154219543.35754433</v>
      </c>
      <c r="Z111" s="11"/>
    </row>
    <row r="112" spans="1:26" ht="38.1" customHeight="1" x14ac:dyDescent="0.25">
      <c r="A112" s="7">
        <f t="shared" si="10"/>
        <v>103</v>
      </c>
      <c r="B112" s="12" t="s">
        <v>123</v>
      </c>
      <c r="C112" s="12" t="s">
        <v>170</v>
      </c>
      <c r="D112" s="9">
        <f t="shared" si="11"/>
        <v>70255840.359999999</v>
      </c>
      <c r="E112" s="9">
        <v>70255840.359999999</v>
      </c>
      <c r="F112" s="9"/>
      <c r="G112" s="9">
        <f t="shared" si="7"/>
        <v>172205832.36287037</v>
      </c>
      <c r="H112" s="9">
        <f t="shared" si="12"/>
        <v>132669074.93000001</v>
      </c>
      <c r="I112" s="9">
        <v>49724371.123194776</v>
      </c>
      <c r="J112" s="9">
        <v>1988974.8568052202</v>
      </c>
      <c r="K112" s="9">
        <v>33605836.306000002</v>
      </c>
      <c r="L112" s="9">
        <v>759583.96400000108</v>
      </c>
      <c r="M112" s="9">
        <v>46590308.680000007</v>
      </c>
      <c r="N112" s="9">
        <v>13551572.432870371</v>
      </c>
      <c r="O112" s="9">
        <v>15224288</v>
      </c>
      <c r="P112" s="9">
        <v>10760897</v>
      </c>
      <c r="Q112" s="9"/>
      <c r="R112" s="9">
        <f t="shared" si="9"/>
        <v>33434621.23</v>
      </c>
      <c r="S112" s="9">
        <v>3586645.95</v>
      </c>
      <c r="T112" s="9">
        <v>29847975.280000001</v>
      </c>
      <c r="U112" s="9"/>
      <c r="V112" s="9">
        <f t="shared" si="13"/>
        <v>17480635.560000002</v>
      </c>
      <c r="W112" s="9">
        <v>16950067.960000001</v>
      </c>
      <c r="X112" s="9">
        <v>530567.6</v>
      </c>
      <c r="Y112" s="10">
        <f t="shared" si="8"/>
        <v>293376929.51287037</v>
      </c>
      <c r="Z112" s="11"/>
    </row>
    <row r="113" spans="1:26" ht="38.1" customHeight="1" x14ac:dyDescent="0.25">
      <c r="A113" s="7">
        <f t="shared" si="10"/>
        <v>104</v>
      </c>
      <c r="B113" s="12" t="s">
        <v>105</v>
      </c>
      <c r="C113" s="12" t="s">
        <v>169</v>
      </c>
      <c r="D113" s="9">
        <f t="shared" si="11"/>
        <v>255946435.68247899</v>
      </c>
      <c r="E113" s="9">
        <f>254513761.682479+1432674</f>
        <v>255946435.68247899</v>
      </c>
      <c r="F113" s="9"/>
      <c r="G113" s="9">
        <f>H113+N113+O113+P113+Q113</f>
        <v>268671753.52425927</v>
      </c>
      <c r="H113" s="9">
        <f>SUM(I113:M113)</f>
        <v>182200191.04000002</v>
      </c>
      <c r="I113" s="9">
        <v>68588917.735548675</v>
      </c>
      <c r="J113" s="9">
        <v>938585.20445132256</v>
      </c>
      <c r="K113" s="9">
        <v>41568212.697600007</v>
      </c>
      <c r="L113" s="9">
        <v>498249.1223999951</v>
      </c>
      <c r="M113" s="9">
        <v>70606226.280000001</v>
      </c>
      <c r="N113" s="9">
        <v>24274613.384259261</v>
      </c>
      <c r="O113" s="9">
        <f>28051120.5+1850000</f>
        <v>29901120.5</v>
      </c>
      <c r="P113" s="9">
        <f>27266333+3559996</f>
        <v>30826329</v>
      </c>
      <c r="Q113" s="9">
        <f>2904269.4-867918.15-566851.65</f>
        <v>1469499.6</v>
      </c>
      <c r="R113" s="9">
        <f t="shared" si="9"/>
        <v>56169307.115600005</v>
      </c>
      <c r="S113" s="9">
        <v>21102942.98</v>
      </c>
      <c r="T113" s="9">
        <v>35066364.135600001</v>
      </c>
      <c r="U113" s="9"/>
      <c r="V113" s="9">
        <f t="shared" si="13"/>
        <v>42176479.560000002</v>
      </c>
      <c r="W113" s="9">
        <v>41115344.359999999</v>
      </c>
      <c r="X113" s="9">
        <v>1061135.2</v>
      </c>
      <c r="Y113" s="10">
        <f t="shared" si="8"/>
        <v>622963975.88233829</v>
      </c>
      <c r="Z113" s="11"/>
    </row>
    <row r="114" spans="1:26" ht="38.1" customHeight="1" x14ac:dyDescent="0.25">
      <c r="A114" s="7">
        <f t="shared" si="10"/>
        <v>105</v>
      </c>
      <c r="B114" s="12" t="s">
        <v>106</v>
      </c>
      <c r="C114" s="12" t="s">
        <v>168</v>
      </c>
      <c r="D114" s="9">
        <f t="shared" si="11"/>
        <v>0</v>
      </c>
      <c r="E114" s="9"/>
      <c r="F114" s="9"/>
      <c r="G114" s="9">
        <f t="shared" si="7"/>
        <v>33031908</v>
      </c>
      <c r="H114" s="9"/>
      <c r="I114" s="9"/>
      <c r="J114" s="9"/>
      <c r="K114" s="9"/>
      <c r="L114" s="9"/>
      <c r="M114" s="9"/>
      <c r="N114" s="9"/>
      <c r="O114" s="9"/>
      <c r="P114" s="9">
        <f>33126016-94108</f>
        <v>33031908</v>
      </c>
      <c r="Q114" s="9"/>
      <c r="R114" s="9">
        <f t="shared" si="9"/>
        <v>0</v>
      </c>
      <c r="S114" s="9"/>
      <c r="T114" s="9"/>
      <c r="U114" s="9"/>
      <c r="V114" s="9">
        <f t="shared" si="13"/>
        <v>0</v>
      </c>
      <c r="W114" s="9"/>
      <c r="X114" s="9"/>
      <c r="Y114" s="10">
        <f t="shared" si="8"/>
        <v>33031908</v>
      </c>
      <c r="Z114" s="11"/>
    </row>
    <row r="115" spans="1:26" ht="38.1" customHeight="1" x14ac:dyDescent="0.25">
      <c r="A115" s="7">
        <f t="shared" si="10"/>
        <v>106</v>
      </c>
      <c r="B115" s="8" t="s">
        <v>107</v>
      </c>
      <c r="C115" s="8" t="s">
        <v>167</v>
      </c>
      <c r="D115" s="9">
        <f t="shared" si="11"/>
        <v>98193242.400000006</v>
      </c>
      <c r="E115" s="9">
        <f>99653631.4-1460389</f>
        <v>98193242.400000006</v>
      </c>
      <c r="F115" s="9"/>
      <c r="G115" s="9">
        <f t="shared" si="7"/>
        <v>107768288.7199074</v>
      </c>
      <c r="H115" s="9">
        <f>SUM(I115:M115)</f>
        <v>83624569</v>
      </c>
      <c r="I115" s="9">
        <v>32802038.323982939</v>
      </c>
      <c r="J115" s="9">
        <v>1501988.1360170618</v>
      </c>
      <c r="K115" s="9">
        <v>20592675.149199996</v>
      </c>
      <c r="L115" s="9">
        <v>493660.03080000222</v>
      </c>
      <c r="M115" s="9">
        <v>28234207.359999996</v>
      </c>
      <c r="N115" s="9">
        <f>10397247.7199074-200000</f>
        <v>10197247.719907399</v>
      </c>
      <c r="O115" s="9">
        <f>11620113-1800000</f>
        <v>9820113</v>
      </c>
      <c r="P115" s="9">
        <f>4935449-809090</f>
        <v>4126359</v>
      </c>
      <c r="Q115" s="9"/>
      <c r="R115" s="9">
        <f t="shared" si="9"/>
        <v>23151452.07</v>
      </c>
      <c r="S115" s="9">
        <f>17878096.58-1008672</f>
        <v>16869424.579999998</v>
      </c>
      <c r="T115" s="9">
        <v>6282027.4900000002</v>
      </c>
      <c r="U115" s="9"/>
      <c r="V115" s="9">
        <f t="shared" si="13"/>
        <v>21631761.880000003</v>
      </c>
      <c r="W115" s="9">
        <v>21101194.280000001</v>
      </c>
      <c r="X115" s="9">
        <v>530567.6</v>
      </c>
      <c r="Y115" s="10">
        <f t="shared" si="8"/>
        <v>250744745.0699074</v>
      </c>
      <c r="Z115" s="11"/>
    </row>
    <row r="116" spans="1:26" ht="38.1" customHeight="1" x14ac:dyDescent="0.25">
      <c r="A116" s="7">
        <f t="shared" si="10"/>
        <v>107</v>
      </c>
      <c r="B116" s="8" t="s">
        <v>108</v>
      </c>
      <c r="C116" s="8" t="s">
        <v>166</v>
      </c>
      <c r="D116" s="9">
        <f t="shared" si="11"/>
        <v>42936254.130000003</v>
      </c>
      <c r="E116" s="9">
        <f>42314989.13+621265</f>
        <v>42936254.130000003</v>
      </c>
      <c r="F116" s="9"/>
      <c r="G116" s="9">
        <f t="shared" si="7"/>
        <v>17644235.255996298</v>
      </c>
      <c r="H116" s="9">
        <f>SUM(I116:M116)</f>
        <v>13575060.147200001</v>
      </c>
      <c r="I116" s="9">
        <v>5433773.84073216</v>
      </c>
      <c r="J116" s="9">
        <v>57197.61926784087</v>
      </c>
      <c r="K116" s="9">
        <v>3395584.5171999997</v>
      </c>
      <c r="L116" s="9">
        <v>0</v>
      </c>
      <c r="M116" s="9">
        <v>4688504.17</v>
      </c>
      <c r="N116" s="9">
        <v>2775166.1087962962</v>
      </c>
      <c r="O116" s="9">
        <v>350774</v>
      </c>
      <c r="P116" s="9">
        <v>809090</v>
      </c>
      <c r="Q116" s="9">
        <v>134145</v>
      </c>
      <c r="R116" s="9">
        <f t="shared" si="9"/>
        <v>7197703.2899999991</v>
      </c>
      <c r="S116" s="9">
        <v>3160692.31</v>
      </c>
      <c r="T116" s="9">
        <f>2683757.07+1353253.91</f>
        <v>4037010.9799999995</v>
      </c>
      <c r="U116" s="9"/>
      <c r="V116" s="9">
        <f t="shared" si="13"/>
        <v>0</v>
      </c>
      <c r="W116" s="9"/>
      <c r="X116" s="9"/>
      <c r="Y116" s="10">
        <f t="shared" si="8"/>
        <v>67778192.675996304</v>
      </c>
      <c r="Z116" s="11"/>
    </row>
    <row r="117" spans="1:26" ht="38.1" customHeight="1" x14ac:dyDescent="0.25">
      <c r="A117" s="7">
        <f t="shared" si="10"/>
        <v>108</v>
      </c>
      <c r="B117" s="8" t="s">
        <v>109</v>
      </c>
      <c r="C117" s="8" t="s">
        <v>165</v>
      </c>
      <c r="D117" s="9">
        <f t="shared" si="11"/>
        <v>157334586.21937999</v>
      </c>
      <c r="E117" s="9">
        <f>166200310.87938-8865724.66</f>
        <v>157334586.21937999</v>
      </c>
      <c r="F117" s="9"/>
      <c r="G117" s="9">
        <f t="shared" si="7"/>
        <v>181116066.11074066</v>
      </c>
      <c r="H117" s="9">
        <f>SUM(I117:M117)</f>
        <v>127266009.66999999</v>
      </c>
      <c r="I117" s="9">
        <v>51043049.684951298</v>
      </c>
      <c r="J117" s="9">
        <v>1101455.2450486943</v>
      </c>
      <c r="K117" s="9">
        <v>30758246.933199994</v>
      </c>
      <c r="L117" s="9">
        <v>442413.15680000279</v>
      </c>
      <c r="M117" s="9">
        <v>43920844.650000006</v>
      </c>
      <c r="N117" s="9">
        <f>18301103.2407407-2500000</f>
        <v>15801103.240740702</v>
      </c>
      <c r="O117" s="9">
        <f>18842886-1000000</f>
        <v>17842886</v>
      </c>
      <c r="P117" s="9">
        <v>19822705</v>
      </c>
      <c r="Q117" s="9">
        <f>1284749.25-901387.05</f>
        <v>383362.19999999995</v>
      </c>
      <c r="R117" s="9">
        <f t="shared" si="9"/>
        <v>28149640.669999998</v>
      </c>
      <c r="S117" s="9">
        <v>265702.08</v>
      </c>
      <c r="T117" s="9">
        <f>31610908.59-3726970</f>
        <v>27883938.59</v>
      </c>
      <c r="U117" s="9"/>
      <c r="V117" s="9">
        <f t="shared" si="13"/>
        <v>25602517.130000003</v>
      </c>
      <c r="W117" s="9">
        <v>25071949.530000001</v>
      </c>
      <c r="X117" s="9">
        <v>530567.6</v>
      </c>
      <c r="Y117" s="10">
        <f t="shared" si="8"/>
        <v>392202810.13012064</v>
      </c>
      <c r="Z117" s="11"/>
    </row>
    <row r="118" spans="1:26" ht="38.1" customHeight="1" x14ac:dyDescent="0.25">
      <c r="A118" s="7">
        <f t="shared" si="10"/>
        <v>109</v>
      </c>
      <c r="B118" s="8" t="s">
        <v>110</v>
      </c>
      <c r="C118" s="8" t="s">
        <v>164</v>
      </c>
      <c r="D118" s="9">
        <f t="shared" si="11"/>
        <v>0</v>
      </c>
      <c r="E118" s="9"/>
      <c r="F118" s="9"/>
      <c r="G118" s="9">
        <f t="shared" si="7"/>
        <v>5822569.3600000003</v>
      </c>
      <c r="H118" s="9">
        <f>SUM(I118:K118)</f>
        <v>0</v>
      </c>
      <c r="I118" s="9">
        <v>0</v>
      </c>
      <c r="J118" s="9"/>
      <c r="K118" s="9"/>
      <c r="L118" s="9"/>
      <c r="M118" s="9"/>
      <c r="N118" s="9"/>
      <c r="O118" s="9"/>
      <c r="P118" s="9">
        <v>4061126.16</v>
      </c>
      <c r="Q118" s="9">
        <v>1761443.2</v>
      </c>
      <c r="R118" s="9">
        <f t="shared" si="9"/>
        <v>0</v>
      </c>
      <c r="S118" s="9"/>
      <c r="T118" s="9"/>
      <c r="U118" s="9"/>
      <c r="V118" s="9">
        <f t="shared" si="13"/>
        <v>0</v>
      </c>
      <c r="W118" s="9"/>
      <c r="X118" s="9"/>
      <c r="Y118" s="10">
        <f t="shared" si="8"/>
        <v>5822569.3600000003</v>
      </c>
      <c r="Z118" s="11"/>
    </row>
    <row r="119" spans="1:26" ht="38.1" customHeight="1" x14ac:dyDescent="0.25">
      <c r="A119" s="7">
        <f t="shared" si="10"/>
        <v>110</v>
      </c>
      <c r="B119" s="8" t="s">
        <v>111</v>
      </c>
      <c r="C119" s="8" t="s">
        <v>163</v>
      </c>
      <c r="D119" s="9">
        <f t="shared" si="11"/>
        <v>99239503.312280998</v>
      </c>
      <c r="E119" s="9">
        <f>101556448.312281-2316945</f>
        <v>99239503.312280998</v>
      </c>
      <c r="F119" s="9"/>
      <c r="G119" s="9">
        <f t="shared" si="7"/>
        <v>89441052.671203703</v>
      </c>
      <c r="H119" s="9">
        <f>SUM(I119:M119)</f>
        <v>70163372.030000001</v>
      </c>
      <c r="I119" s="9">
        <v>27161751.708583131</v>
      </c>
      <c r="J119" s="9">
        <v>771965.57141686976</v>
      </c>
      <c r="K119" s="9">
        <v>16624904.572399998</v>
      </c>
      <c r="L119" s="9">
        <v>239125.36760000026</v>
      </c>
      <c r="M119" s="9">
        <v>25365624.810000002</v>
      </c>
      <c r="N119" s="9">
        <v>10319259.641203701</v>
      </c>
      <c r="O119" s="9">
        <f>8035245.5-4700000</f>
        <v>3335245.5</v>
      </c>
      <c r="P119" s="9">
        <v>5623175.5</v>
      </c>
      <c r="Q119" s="9"/>
      <c r="R119" s="9">
        <f t="shared" si="9"/>
        <v>19949244.289999999</v>
      </c>
      <c r="S119" s="9">
        <v>11652032.59</v>
      </c>
      <c r="T119" s="9">
        <v>8297211.7000000002</v>
      </c>
      <c r="U119" s="9"/>
      <c r="V119" s="9">
        <f t="shared" si="13"/>
        <v>21826854.610000003</v>
      </c>
      <c r="W119" s="9">
        <v>21296287.010000002</v>
      </c>
      <c r="X119" s="9">
        <v>530567.6</v>
      </c>
      <c r="Y119" s="10">
        <f t="shared" si="8"/>
        <v>230456654.88348472</v>
      </c>
      <c r="Z119" s="11"/>
    </row>
    <row r="120" spans="1:26" ht="38.1" customHeight="1" x14ac:dyDescent="0.25">
      <c r="A120" s="7">
        <f t="shared" si="10"/>
        <v>111</v>
      </c>
      <c r="B120" s="12" t="s">
        <v>112</v>
      </c>
      <c r="C120" s="12" t="s">
        <v>162</v>
      </c>
      <c r="D120" s="9">
        <f t="shared" si="11"/>
        <v>157480012.24162099</v>
      </c>
      <c r="E120" s="9">
        <f>164709346.241621-7229334</f>
        <v>157480012.24162099</v>
      </c>
      <c r="F120" s="9"/>
      <c r="G120" s="9">
        <f t="shared" si="7"/>
        <v>193008544.26064816</v>
      </c>
      <c r="H120" s="9">
        <f>SUM(I120:M120)</f>
        <v>158830645.80000001</v>
      </c>
      <c r="I120" s="9">
        <v>66357258.180243045</v>
      </c>
      <c r="J120" s="9">
        <v>1431919.7397569567</v>
      </c>
      <c r="K120" s="9">
        <v>38120951.918399997</v>
      </c>
      <c r="L120" s="9">
        <v>548315.06160000176</v>
      </c>
      <c r="M120" s="9">
        <v>52372200.900000006</v>
      </c>
      <c r="N120" s="9">
        <v>11728465.460648147</v>
      </c>
      <c r="O120" s="9">
        <v>14115806</v>
      </c>
      <c r="P120" s="9">
        <f>10841806-2508179</f>
        <v>8333627</v>
      </c>
      <c r="Q120" s="9"/>
      <c r="R120" s="9">
        <f t="shared" si="9"/>
        <v>20167951.204800002</v>
      </c>
      <c r="S120" s="9">
        <f>9216706.9638-1013819</f>
        <v>8202887.9638</v>
      </c>
      <c r="T120" s="9">
        <f>12653231.241-688168</f>
        <v>11965063.241</v>
      </c>
      <c r="U120" s="9"/>
      <c r="V120" s="9">
        <f t="shared" si="13"/>
        <v>21685420.620000001</v>
      </c>
      <c r="W120" s="9">
        <v>21154853.02</v>
      </c>
      <c r="X120" s="9">
        <v>530567.6</v>
      </c>
      <c r="Y120" s="10">
        <f t="shared" si="8"/>
        <v>392341928.32706916</v>
      </c>
      <c r="Z120" s="11"/>
    </row>
    <row r="121" spans="1:26" ht="54" customHeight="1" x14ac:dyDescent="0.25">
      <c r="A121" s="7">
        <f t="shared" si="10"/>
        <v>112</v>
      </c>
      <c r="B121" s="12" t="s">
        <v>113</v>
      </c>
      <c r="C121" s="12" t="s">
        <v>161</v>
      </c>
      <c r="D121" s="9">
        <f t="shared" si="11"/>
        <v>479749.55280000006</v>
      </c>
      <c r="E121" s="9">
        <v>479749.55280000006</v>
      </c>
      <c r="F121" s="9"/>
      <c r="G121" s="9">
        <f t="shared" si="7"/>
        <v>0</v>
      </c>
      <c r="H121" s="9">
        <f>SUM(I121:K121)</f>
        <v>0</v>
      </c>
      <c r="I121" s="9"/>
      <c r="J121" s="9"/>
      <c r="K121" s="9"/>
      <c r="L121" s="9"/>
      <c r="M121" s="9"/>
      <c r="N121" s="15"/>
      <c r="O121" s="9"/>
      <c r="P121" s="9"/>
      <c r="Q121" s="9"/>
      <c r="R121" s="9">
        <f t="shared" si="9"/>
        <v>0</v>
      </c>
      <c r="S121" s="9"/>
      <c r="T121" s="9"/>
      <c r="U121" s="9"/>
      <c r="V121" s="9">
        <f t="shared" si="13"/>
        <v>0</v>
      </c>
      <c r="W121" s="9"/>
      <c r="X121" s="9"/>
      <c r="Y121" s="10">
        <f t="shared" si="8"/>
        <v>479749.55280000006</v>
      </c>
      <c r="Z121" s="11"/>
    </row>
    <row r="122" spans="1:26" ht="38.1" customHeight="1" x14ac:dyDescent="0.25">
      <c r="A122" s="7">
        <f t="shared" si="10"/>
        <v>113</v>
      </c>
      <c r="B122" s="8" t="s">
        <v>114</v>
      </c>
      <c r="C122" s="8" t="s">
        <v>160</v>
      </c>
      <c r="D122" s="9">
        <f t="shared" si="11"/>
        <v>112258702.72</v>
      </c>
      <c r="E122" s="9">
        <f>116008398.72-3749696</f>
        <v>112258702.72</v>
      </c>
      <c r="F122" s="9"/>
      <c r="G122" s="9">
        <f t="shared" si="7"/>
        <v>158441148.72212961</v>
      </c>
      <c r="H122" s="9">
        <f>SUM(I122:M122)</f>
        <v>125421593.77999999</v>
      </c>
      <c r="I122" s="9">
        <v>49591830.058606833</v>
      </c>
      <c r="J122" s="9">
        <v>1618259.7413931638</v>
      </c>
      <c r="K122" s="9">
        <v>31011267.882399999</v>
      </c>
      <c r="L122" s="9">
        <v>520394.56760000275</v>
      </c>
      <c r="M122" s="9">
        <v>42679841.530000001</v>
      </c>
      <c r="N122" s="9">
        <v>12441950.942129629</v>
      </c>
      <c r="O122" s="9">
        <f>17833065-3000000</f>
        <v>14833065</v>
      </c>
      <c r="P122" s="9">
        <v>5744539</v>
      </c>
      <c r="Q122" s="9"/>
      <c r="R122" s="9">
        <f t="shared" si="9"/>
        <v>13606271.449999999</v>
      </c>
      <c r="S122" s="9">
        <v>3815481.87</v>
      </c>
      <c r="T122" s="9">
        <f>10548372.58-757583</f>
        <v>9790789.5800000001</v>
      </c>
      <c r="U122" s="9"/>
      <c r="V122" s="9">
        <f t="shared" si="13"/>
        <v>23694678.34</v>
      </c>
      <c r="W122" s="9">
        <v>23164110.739999998</v>
      </c>
      <c r="X122" s="9">
        <v>530567.6</v>
      </c>
      <c r="Y122" s="10">
        <f t="shared" si="8"/>
        <v>308000801.23212957</v>
      </c>
      <c r="Z122" s="11"/>
    </row>
    <row r="123" spans="1:26" ht="38.1" customHeight="1" x14ac:dyDescent="0.25">
      <c r="A123" s="7">
        <f t="shared" si="10"/>
        <v>114</v>
      </c>
      <c r="B123" s="8" t="s">
        <v>115</v>
      </c>
      <c r="C123" s="8" t="s">
        <v>159</v>
      </c>
      <c r="D123" s="9">
        <f t="shared" si="11"/>
        <v>87826383.550328001</v>
      </c>
      <c r="E123" s="9">
        <f>93738979.550328-5912596</f>
        <v>87826383.550328001</v>
      </c>
      <c r="F123" s="9"/>
      <c r="G123" s="9">
        <f t="shared" si="7"/>
        <v>123372294.86574075</v>
      </c>
      <c r="H123" s="9">
        <f>SUM(I123:M123)</f>
        <v>94973272.25</v>
      </c>
      <c r="I123" s="9">
        <v>37050458.991856128</v>
      </c>
      <c r="J123" s="9">
        <v>390004.83814387023</v>
      </c>
      <c r="K123" s="9">
        <v>24333449.335200004</v>
      </c>
      <c r="L123" s="9">
        <v>-5.2000022260472178E-3</v>
      </c>
      <c r="M123" s="9">
        <v>33199359.090000004</v>
      </c>
      <c r="N123" s="9">
        <f>8817807.11574074-300000</f>
        <v>8517807.1157407407</v>
      </c>
      <c r="O123" s="9">
        <f>12319408.5-2390000</f>
        <v>9929408.5</v>
      </c>
      <c r="P123" s="9">
        <v>9951807</v>
      </c>
      <c r="Q123" s="9"/>
      <c r="R123" s="9">
        <f t="shared" si="9"/>
        <v>8812008.959999999</v>
      </c>
      <c r="S123" s="9">
        <f>6593895.31-366005</f>
        <v>6227890.3099999996</v>
      </c>
      <c r="T123" s="9">
        <f>2909105.65-324987</f>
        <v>2584118.65</v>
      </c>
      <c r="U123" s="9"/>
      <c r="V123" s="9">
        <f t="shared" si="13"/>
        <v>14466092.770000001</v>
      </c>
      <c r="W123" s="9">
        <v>14200808.970000001</v>
      </c>
      <c r="X123" s="9">
        <v>265283.8</v>
      </c>
      <c r="Y123" s="10">
        <f t="shared" si="8"/>
        <v>234476780.14606875</v>
      </c>
      <c r="Z123" s="11"/>
    </row>
    <row r="124" spans="1:26" ht="38.1" customHeight="1" x14ac:dyDescent="0.25">
      <c r="A124" s="7">
        <f t="shared" si="10"/>
        <v>115</v>
      </c>
      <c r="B124" s="8" t="s">
        <v>116</v>
      </c>
      <c r="C124" s="8" t="s">
        <v>154</v>
      </c>
      <c r="D124" s="9">
        <f t="shared" si="11"/>
        <v>13285622.976219997</v>
      </c>
      <c r="E124" s="9">
        <v>13285622.976219997</v>
      </c>
      <c r="F124" s="9"/>
      <c r="G124" s="9">
        <f t="shared" si="7"/>
        <v>31059076.428981483</v>
      </c>
      <c r="H124" s="9">
        <f>SUM(I124:M124)</f>
        <v>28466151.810000002</v>
      </c>
      <c r="I124" s="9">
        <v>11844703.294351196</v>
      </c>
      <c r="J124" s="9">
        <v>274298.3656488061</v>
      </c>
      <c r="K124" s="9">
        <v>6933677.2400000002</v>
      </c>
      <c r="L124" s="9">
        <v>33243.649999999674</v>
      </c>
      <c r="M124" s="9">
        <v>9380229.2599999998</v>
      </c>
      <c r="N124" s="9">
        <f>1108016.16898148-175000</f>
        <v>933016.16898147995</v>
      </c>
      <c r="O124" s="9">
        <f>1149772.9-214000</f>
        <v>935772.89999999991</v>
      </c>
      <c r="P124" s="9">
        <f>800999.1-76863.55</f>
        <v>724135.54999999993</v>
      </c>
      <c r="Q124" s="9"/>
      <c r="R124" s="9">
        <f t="shared" si="9"/>
        <v>2696045.5698000006</v>
      </c>
      <c r="S124" s="9">
        <v>1847293.7112000005</v>
      </c>
      <c r="T124" s="9">
        <f>1618623.8586-769872</f>
        <v>848751.85859999992</v>
      </c>
      <c r="U124" s="9"/>
      <c r="V124" s="9">
        <f t="shared" si="13"/>
        <v>1762100.3900000001</v>
      </c>
      <c r="W124" s="9">
        <v>1655986.87</v>
      </c>
      <c r="X124" s="9">
        <v>106113.52</v>
      </c>
      <c r="Y124" s="10">
        <f t="shared" si="8"/>
        <v>48802845.365001485</v>
      </c>
      <c r="Z124" s="11"/>
    </row>
    <row r="125" spans="1:26" ht="38.1" customHeight="1" x14ac:dyDescent="0.25">
      <c r="A125" s="7">
        <f t="shared" si="10"/>
        <v>116</v>
      </c>
      <c r="B125" s="8" t="s">
        <v>117</v>
      </c>
      <c r="C125" s="8" t="s">
        <v>153</v>
      </c>
      <c r="D125" s="9">
        <f t="shared" si="11"/>
        <v>32164044.217352498</v>
      </c>
      <c r="E125" s="9">
        <f>30422253.2173525+1741791</f>
        <v>32164044.217352498</v>
      </c>
      <c r="F125" s="9"/>
      <c r="G125" s="9">
        <f t="shared" si="7"/>
        <v>36259277.338240743</v>
      </c>
      <c r="H125" s="9">
        <f>SUM(I125:M125)</f>
        <v>29018592.170000002</v>
      </c>
      <c r="I125" s="9">
        <v>13550101.778989015</v>
      </c>
      <c r="J125" s="9">
        <v>142632.66101098247</v>
      </c>
      <c r="K125" s="9">
        <v>6435431.0700000003</v>
      </c>
      <c r="L125" s="9">
        <v>92564.440000001166</v>
      </c>
      <c r="M125" s="9">
        <v>8797862.2200000007</v>
      </c>
      <c r="N125" s="9">
        <v>1743121.1682407409</v>
      </c>
      <c r="O125" s="9">
        <v>2490448</v>
      </c>
      <c r="P125" s="22">
        <v>3007116</v>
      </c>
      <c r="Q125" s="9"/>
      <c r="R125" s="9">
        <f t="shared" si="9"/>
        <v>13329177.216499999</v>
      </c>
      <c r="S125" s="9">
        <f>11149345.6065+1755504</f>
        <v>12904849.6065</v>
      </c>
      <c r="T125" s="9">
        <v>424327.61</v>
      </c>
      <c r="U125" s="9"/>
      <c r="V125" s="9">
        <f t="shared" si="13"/>
        <v>2797904.48</v>
      </c>
      <c r="W125" s="9">
        <v>2691205.42</v>
      </c>
      <c r="X125" s="9">
        <v>106699.06</v>
      </c>
      <c r="Y125" s="10">
        <f t="shared" si="8"/>
        <v>84550403.252093241</v>
      </c>
      <c r="Z125" s="11"/>
    </row>
    <row r="126" spans="1:26" ht="38.1" customHeight="1" x14ac:dyDescent="0.25">
      <c r="A126" s="7">
        <f t="shared" si="10"/>
        <v>117</v>
      </c>
      <c r="B126" s="8" t="s">
        <v>118</v>
      </c>
      <c r="C126" s="8" t="s">
        <v>152</v>
      </c>
      <c r="D126" s="9">
        <f t="shared" si="11"/>
        <v>83756234.490448341</v>
      </c>
      <c r="E126" s="9">
        <v>83756234.490448341</v>
      </c>
      <c r="F126" s="9"/>
      <c r="G126" s="9">
        <f t="shared" si="7"/>
        <v>105491645.66685277</v>
      </c>
      <c r="H126" s="9">
        <f>SUM(I126:M126)</f>
        <v>87398162.400000006</v>
      </c>
      <c r="I126" s="9">
        <v>32193657.48897792</v>
      </c>
      <c r="J126" s="9">
        <v>694705.26102207974</v>
      </c>
      <c r="K126" s="9">
        <v>22856670.109999999</v>
      </c>
      <c r="L126" s="9">
        <v>328760.32000000071</v>
      </c>
      <c r="M126" s="9">
        <v>31324369.219999999</v>
      </c>
      <c r="N126" s="9">
        <f>5034569.14277778-200000</f>
        <v>4834569.1427777801</v>
      </c>
      <c r="O126" s="9">
        <f>7123515.97407498-1000000</f>
        <v>6123515.9740749802</v>
      </c>
      <c r="P126" s="9">
        <v>7135398.1500000004</v>
      </c>
      <c r="Q126" s="9"/>
      <c r="R126" s="9">
        <f t="shared" si="9"/>
        <v>5868279.5317249997</v>
      </c>
      <c r="S126" s="9">
        <v>2038909.59</v>
      </c>
      <c r="T126" s="9">
        <f>3887544.661725-58174.72</f>
        <v>3829369.9417249998</v>
      </c>
      <c r="U126" s="9"/>
      <c r="V126" s="9">
        <f t="shared" si="13"/>
        <v>10880857.17</v>
      </c>
      <c r="W126" s="9">
        <v>10773122.85</v>
      </c>
      <c r="X126" s="9">
        <v>107734.32</v>
      </c>
      <c r="Y126" s="10">
        <f t="shared" si="8"/>
        <v>205997016.85902613</v>
      </c>
      <c r="Z126" s="11"/>
    </row>
    <row r="127" spans="1:26" ht="38.1" customHeight="1" x14ac:dyDescent="0.25">
      <c r="A127" s="7">
        <f t="shared" si="10"/>
        <v>118</v>
      </c>
      <c r="B127" s="8" t="s">
        <v>119</v>
      </c>
      <c r="C127" s="8" t="s">
        <v>155</v>
      </c>
      <c r="D127" s="9">
        <f t="shared" si="11"/>
        <v>0</v>
      </c>
      <c r="E127" s="9"/>
      <c r="F127" s="9"/>
      <c r="G127" s="9">
        <f t="shared" si="7"/>
        <v>0</v>
      </c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>
        <f t="shared" si="9"/>
        <v>242315.3</v>
      </c>
      <c r="S127" s="9">
        <f>605788.24-363472.94</f>
        <v>242315.3</v>
      </c>
      <c r="T127" s="9"/>
      <c r="U127" s="9"/>
      <c r="V127" s="9">
        <f t="shared" si="13"/>
        <v>0</v>
      </c>
      <c r="W127" s="9"/>
      <c r="X127" s="9"/>
      <c r="Y127" s="10">
        <f t="shared" si="8"/>
        <v>242315.3</v>
      </c>
      <c r="Z127" s="11"/>
    </row>
    <row r="128" spans="1:26" ht="38.1" customHeight="1" x14ac:dyDescent="0.25">
      <c r="A128" s="7">
        <f t="shared" si="10"/>
        <v>119</v>
      </c>
      <c r="B128" s="8" t="s">
        <v>120</v>
      </c>
      <c r="C128" s="8" t="s">
        <v>157</v>
      </c>
      <c r="D128" s="9">
        <f t="shared" si="11"/>
        <v>0</v>
      </c>
      <c r="E128" s="9"/>
      <c r="F128" s="9"/>
      <c r="G128" s="9">
        <f t="shared" si="7"/>
        <v>0</v>
      </c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>
        <f t="shared" si="9"/>
        <v>0</v>
      </c>
      <c r="S128" s="9"/>
      <c r="T128" s="9"/>
      <c r="U128" s="9"/>
      <c r="V128" s="9">
        <f t="shared" si="13"/>
        <v>0</v>
      </c>
      <c r="W128" s="9"/>
      <c r="X128" s="9"/>
      <c r="Y128" s="10">
        <f t="shared" si="8"/>
        <v>0</v>
      </c>
      <c r="Z128" s="11"/>
    </row>
    <row r="129" spans="1:26" ht="38.1" customHeight="1" x14ac:dyDescent="0.25">
      <c r="A129" s="7">
        <f t="shared" si="10"/>
        <v>120</v>
      </c>
      <c r="B129" s="8" t="s">
        <v>137</v>
      </c>
      <c r="C129" s="8" t="s">
        <v>158</v>
      </c>
      <c r="D129" s="9">
        <f t="shared" si="11"/>
        <v>0</v>
      </c>
      <c r="E129" s="9"/>
      <c r="F129" s="9"/>
      <c r="G129" s="9">
        <f t="shared" si="7"/>
        <v>0</v>
      </c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>
        <f t="shared" si="9"/>
        <v>0</v>
      </c>
      <c r="S129" s="9"/>
      <c r="T129" s="9"/>
      <c r="U129" s="9"/>
      <c r="V129" s="9">
        <f t="shared" si="13"/>
        <v>0</v>
      </c>
      <c r="W129" s="9"/>
      <c r="X129" s="9"/>
      <c r="Y129" s="10">
        <f t="shared" si="8"/>
        <v>0</v>
      </c>
      <c r="Z129" s="11"/>
    </row>
    <row r="130" spans="1:26" ht="31.5" customHeight="1" x14ac:dyDescent="0.25">
      <c r="A130" s="7">
        <f t="shared" si="10"/>
        <v>121</v>
      </c>
      <c r="B130" s="8" t="s">
        <v>138</v>
      </c>
      <c r="C130" s="8" t="s">
        <v>156</v>
      </c>
      <c r="D130" s="9">
        <f t="shared" si="11"/>
        <v>0</v>
      </c>
      <c r="E130" s="9"/>
      <c r="F130" s="9"/>
      <c r="G130" s="9">
        <f t="shared" si="7"/>
        <v>0</v>
      </c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>
        <f t="shared" si="9"/>
        <v>0</v>
      </c>
      <c r="S130" s="9">
        <v>0</v>
      </c>
      <c r="T130" s="9"/>
      <c r="U130" s="9"/>
      <c r="V130" s="9">
        <f t="shared" si="13"/>
        <v>0</v>
      </c>
      <c r="W130" s="9"/>
      <c r="X130" s="9"/>
      <c r="Y130" s="10">
        <f t="shared" si="8"/>
        <v>0</v>
      </c>
      <c r="Z130" s="11"/>
    </row>
    <row r="131" spans="1:26" s="18" customFormat="1" ht="33.6" customHeight="1" x14ac:dyDescent="0.25">
      <c r="A131" s="16"/>
      <c r="B131" s="17" t="s">
        <v>9</v>
      </c>
      <c r="C131" s="17"/>
      <c r="D131" s="10">
        <f t="shared" ref="D131:L131" si="14">SUM(D10:D130)</f>
        <v>8356664696.5249777</v>
      </c>
      <c r="E131" s="10">
        <f t="shared" si="14"/>
        <v>7545458638.5187769</v>
      </c>
      <c r="F131" s="10">
        <f t="shared" si="14"/>
        <v>811206058.00620031</v>
      </c>
      <c r="G131" s="10">
        <f>SUM(G10:G130)</f>
        <v>7197044385.4420443</v>
      </c>
      <c r="H131" s="10">
        <f t="shared" si="14"/>
        <v>3286507728.6456008</v>
      </c>
      <c r="I131" s="10">
        <f t="shared" si="14"/>
        <v>1272774706.5889719</v>
      </c>
      <c r="J131" s="10">
        <f t="shared" si="14"/>
        <v>41322152.291027918</v>
      </c>
      <c r="K131" s="10">
        <f t="shared" si="14"/>
        <v>800709139.22980011</v>
      </c>
      <c r="L131" s="10">
        <f t="shared" si="14"/>
        <v>13871132.195800014</v>
      </c>
      <c r="M131" s="10">
        <f>SUM(M10:M130)</f>
        <v>1157830598.3400002</v>
      </c>
      <c r="N131" s="10">
        <f t="shared" ref="N131:Y131" si="15">SUM(N10:N130)</f>
        <v>611431032.1884259</v>
      </c>
      <c r="O131" s="10">
        <f t="shared" si="15"/>
        <v>603715111.2840749</v>
      </c>
      <c r="P131" s="10">
        <f t="shared" si="15"/>
        <v>1977228017.283947</v>
      </c>
      <c r="Q131" s="10">
        <f t="shared" si="15"/>
        <v>718162496.0400002</v>
      </c>
      <c r="R131" s="10">
        <f t="shared" si="15"/>
        <v>1438419011.0650916</v>
      </c>
      <c r="S131" s="10">
        <f t="shared" si="15"/>
        <v>488549373.95894969</v>
      </c>
      <c r="T131" s="10">
        <f t="shared" si="15"/>
        <v>949869637.10614192</v>
      </c>
      <c r="U131" s="10">
        <f t="shared" si="15"/>
        <v>442753693.30000001</v>
      </c>
      <c r="V131" s="10">
        <f t="shared" si="15"/>
        <v>1267504621.0899999</v>
      </c>
      <c r="W131" s="10">
        <f t="shared" si="15"/>
        <v>1252909412.2899997</v>
      </c>
      <c r="X131" s="10">
        <f t="shared" si="15"/>
        <v>14595208.799999999</v>
      </c>
      <c r="Y131" s="10">
        <f t="shared" si="15"/>
        <v>18702386407.422119</v>
      </c>
      <c r="Z131" s="11"/>
    </row>
    <row r="132" spans="1:26" s="18" customFormat="1" ht="31.5" hidden="1" customHeight="1" x14ac:dyDescent="0.25">
      <c r="A132" s="16"/>
      <c r="B132" s="17" t="s">
        <v>270</v>
      </c>
      <c r="C132" s="17"/>
      <c r="D132" s="10">
        <v>8389643045.871398</v>
      </c>
      <c r="E132" s="10">
        <v>7584385959.4099979</v>
      </c>
      <c r="F132" s="10">
        <v>805257086.46140015</v>
      </c>
      <c r="G132" s="10">
        <v>7171188143.022047</v>
      </c>
      <c r="H132" s="10">
        <v>3236544004.6556001</v>
      </c>
      <c r="I132" s="10">
        <v>1272774706.5889719</v>
      </c>
      <c r="J132" s="10">
        <v>41322152.291027918</v>
      </c>
      <c r="K132" s="10">
        <v>800709139.22980011</v>
      </c>
      <c r="L132" s="10">
        <v>13871132.195800014</v>
      </c>
      <c r="M132" s="10">
        <v>1107866874.3499999</v>
      </c>
      <c r="N132" s="10">
        <v>624285787.1884259</v>
      </c>
      <c r="O132" s="10">
        <v>586135356.2840749</v>
      </c>
      <c r="P132" s="10">
        <v>1989626655.5939472</v>
      </c>
      <c r="Q132" s="10">
        <v>734596339.30000007</v>
      </c>
      <c r="R132" s="10">
        <v>1442249672.45</v>
      </c>
      <c r="S132" s="10">
        <v>509697414.56999981</v>
      </c>
      <c r="T132" s="10">
        <v>932552257.88000035</v>
      </c>
      <c r="U132" s="10">
        <v>431017596</v>
      </c>
      <c r="V132" s="10">
        <v>1267504621.0899999</v>
      </c>
      <c r="W132" s="10">
        <v>1252909412.2899997</v>
      </c>
      <c r="X132" s="10">
        <v>14595208.799999999</v>
      </c>
      <c r="Y132" s="10">
        <v>18701603078.43346</v>
      </c>
      <c r="Z132" s="11"/>
    </row>
    <row r="133" spans="1:26" hidden="1" x14ac:dyDescent="0.25">
      <c r="D133" s="11">
        <f>D131-D132</f>
        <v>-32978349.346420288</v>
      </c>
      <c r="E133" s="11">
        <f t="shared" ref="E133:Y133" si="16">E131-E132</f>
        <v>-38927320.891221046</v>
      </c>
      <c r="F133" s="11">
        <f t="shared" si="16"/>
        <v>5948971.5448001623</v>
      </c>
      <c r="G133" s="11">
        <f t="shared" si="16"/>
        <v>25856242.419997215</v>
      </c>
      <c r="H133" s="11">
        <f t="shared" si="16"/>
        <v>49963723.990000725</v>
      </c>
      <c r="I133" s="11">
        <f t="shared" si="16"/>
        <v>0</v>
      </c>
      <c r="J133" s="11">
        <f t="shared" si="16"/>
        <v>0</v>
      </c>
      <c r="K133" s="11">
        <f t="shared" si="16"/>
        <v>0</v>
      </c>
      <c r="L133" s="11">
        <f t="shared" si="16"/>
        <v>0</v>
      </c>
      <c r="M133" s="11">
        <f t="shared" si="16"/>
        <v>49963723.990000248</v>
      </c>
      <c r="N133" s="11">
        <f t="shared" si="16"/>
        <v>-12854755</v>
      </c>
      <c r="O133" s="11">
        <f t="shared" si="16"/>
        <v>17579755</v>
      </c>
      <c r="P133" s="11">
        <f t="shared" si="16"/>
        <v>-12398638.310000181</v>
      </c>
      <c r="Q133" s="11">
        <f t="shared" si="16"/>
        <v>-16433843.259999871</v>
      </c>
      <c r="R133" s="11">
        <f t="shared" si="16"/>
        <v>-3830661.3849084377</v>
      </c>
      <c r="S133" s="11">
        <f t="shared" si="16"/>
        <v>-21148040.611050129</v>
      </c>
      <c r="T133" s="11">
        <f t="shared" si="16"/>
        <v>17317379.226141572</v>
      </c>
      <c r="U133" s="11">
        <f t="shared" si="16"/>
        <v>11736097.300000012</v>
      </c>
      <c r="V133" s="11">
        <f t="shared" si="16"/>
        <v>0</v>
      </c>
      <c r="W133" s="11">
        <f t="shared" si="16"/>
        <v>0</v>
      </c>
      <c r="X133" s="11">
        <f t="shared" si="16"/>
        <v>0</v>
      </c>
      <c r="Y133" s="11">
        <f t="shared" si="16"/>
        <v>783328.98865890503</v>
      </c>
    </row>
    <row r="134" spans="1:26" hidden="1" x14ac:dyDescent="0.25">
      <c r="H134" s="19">
        <f>H133-H131</f>
        <v>-3236544004.6556001</v>
      </c>
      <c r="Y134" s="20"/>
    </row>
    <row r="135" spans="1:26" hidden="1" x14ac:dyDescent="0.25">
      <c r="B135" s="1" t="s">
        <v>271</v>
      </c>
      <c r="D135" s="4">
        <v>8375149485.7918825</v>
      </c>
      <c r="E135" s="4">
        <v>7578629331.9898815</v>
      </c>
      <c r="F135" s="4">
        <v>796520153.80200016</v>
      </c>
      <c r="G135" s="4">
        <v>7187310847.5920486</v>
      </c>
      <c r="H135" s="4">
        <v>3272969754.1256003</v>
      </c>
      <c r="I135" s="4">
        <v>1272774706.5889719</v>
      </c>
      <c r="J135" s="4">
        <v>41322152.291027918</v>
      </c>
      <c r="K135" s="4">
        <v>800709139.22980011</v>
      </c>
      <c r="L135" s="4">
        <v>13871132.195800014</v>
      </c>
      <c r="M135" s="4">
        <v>1144292623.8199999</v>
      </c>
      <c r="N135" s="4">
        <v>624285787.1884259</v>
      </c>
      <c r="O135" s="4">
        <v>586135356.2840749</v>
      </c>
      <c r="P135" s="4">
        <v>1979372431.7939472</v>
      </c>
      <c r="Q135" s="4">
        <v>724547518.20000005</v>
      </c>
      <c r="R135" s="4">
        <v>1436066705.7417922</v>
      </c>
      <c r="S135" s="4">
        <v>507879154.34069979</v>
      </c>
      <c r="T135" s="4">
        <v>928187551.40109205</v>
      </c>
      <c r="U135" s="4">
        <v>432688096</v>
      </c>
      <c r="V135" s="4">
        <v>1267504621.0899999</v>
      </c>
      <c r="W135" s="4">
        <v>1252909412.2899997</v>
      </c>
      <c r="X135" s="4">
        <v>14595208.799999999</v>
      </c>
      <c r="Y135" s="4">
        <v>18698719756.215733</v>
      </c>
    </row>
    <row r="136" spans="1:26" hidden="1" x14ac:dyDescent="0.25">
      <c r="B136" s="1" t="s">
        <v>272</v>
      </c>
      <c r="M136" s="19">
        <f>M131-M135</f>
        <v>13537974.520000219</v>
      </c>
      <c r="Y136" s="11">
        <f>Y131-Y135</f>
        <v>3666651.2063865662</v>
      </c>
    </row>
    <row r="137" spans="1:26" hidden="1" x14ac:dyDescent="0.25">
      <c r="D137" s="19">
        <f>D131-D135</f>
        <v>-18484789.266904831</v>
      </c>
      <c r="E137" s="19">
        <f>E131-E135</f>
        <v>-33170693.471104622</v>
      </c>
    </row>
    <row r="138" spans="1:26" hidden="1" x14ac:dyDescent="0.25">
      <c r="Y138" s="11"/>
    </row>
    <row r="139" spans="1:26" x14ac:dyDescent="0.25">
      <c r="Y139" s="11"/>
    </row>
    <row r="140" spans="1:26" s="18" customFormat="1" ht="33.6" hidden="1" customHeight="1" x14ac:dyDescent="0.25">
      <c r="A140" s="16"/>
      <c r="B140" s="17" t="s">
        <v>273</v>
      </c>
      <c r="C140" s="17"/>
      <c r="D140" s="10">
        <v>8346516545.4649792</v>
      </c>
      <c r="E140" s="10">
        <v>7535310487.4587793</v>
      </c>
      <c r="F140" s="10">
        <v>811206058.00620031</v>
      </c>
      <c r="G140" s="10">
        <v>7205120134.9520464</v>
      </c>
      <c r="H140" s="10">
        <v>3286507728.6456008</v>
      </c>
      <c r="I140" s="10">
        <v>1272774706.5889719</v>
      </c>
      <c r="J140" s="10">
        <v>41322152.291027918</v>
      </c>
      <c r="K140" s="10">
        <v>800709139.22980011</v>
      </c>
      <c r="L140" s="10">
        <v>13871132.195800014</v>
      </c>
      <c r="M140" s="10">
        <v>1157830598.3400002</v>
      </c>
      <c r="N140" s="10">
        <v>624417032.1884259</v>
      </c>
      <c r="O140" s="10">
        <v>586404111.2840749</v>
      </c>
      <c r="P140" s="10">
        <v>1984637755.7339473</v>
      </c>
      <c r="Q140" s="10">
        <v>723153507.10000002</v>
      </c>
      <c r="R140" s="10">
        <v>1435614065.0450919</v>
      </c>
      <c r="S140" s="10">
        <v>504542479.51894975</v>
      </c>
      <c r="T140" s="10">
        <v>931071585.52614212</v>
      </c>
      <c r="U140" s="10">
        <v>432688096</v>
      </c>
      <c r="V140" s="10">
        <v>1267504621.0899999</v>
      </c>
      <c r="W140" s="10">
        <v>1252909412.2899997</v>
      </c>
      <c r="X140" s="10">
        <v>14595208.799999999</v>
      </c>
      <c r="Y140" s="10">
        <v>18687443462.552128</v>
      </c>
      <c r="Z140" s="11"/>
    </row>
    <row r="142" spans="1:26" x14ac:dyDescent="0.25">
      <c r="E142" s="19"/>
      <c r="G142" s="19"/>
      <c r="N142" s="19"/>
      <c r="O142" s="19"/>
      <c r="P142" s="19"/>
      <c r="S142" s="19">
        <f>S131-S140</f>
        <v>-15993105.560000062</v>
      </c>
      <c r="T142" s="19">
        <f>T131-T140</f>
        <v>18798051.579999804</v>
      </c>
      <c r="U142" s="19"/>
      <c r="Y142" s="19"/>
    </row>
    <row r="143" spans="1:26" x14ac:dyDescent="0.25">
      <c r="U143" s="19"/>
    </row>
  </sheetData>
  <mergeCells count="30">
    <mergeCell ref="U6:U9"/>
    <mergeCell ref="V6:X6"/>
    <mergeCell ref="Y6:Y9"/>
    <mergeCell ref="T7:T9"/>
    <mergeCell ref="I7:M7"/>
    <mergeCell ref="S7:S9"/>
    <mergeCell ref="W7:W9"/>
    <mergeCell ref="A6:A8"/>
    <mergeCell ref="B6:B9"/>
    <mergeCell ref="C6:C9"/>
    <mergeCell ref="D6:F6"/>
    <mergeCell ref="D7:D9"/>
    <mergeCell ref="E7:E9"/>
    <mergeCell ref="F7:F9"/>
    <mergeCell ref="V1:Y2"/>
    <mergeCell ref="G7:G9"/>
    <mergeCell ref="H7:H9"/>
    <mergeCell ref="N7:N9"/>
    <mergeCell ref="V7:V9"/>
    <mergeCell ref="I8:J8"/>
    <mergeCell ref="O7:O9"/>
    <mergeCell ref="P7:P9"/>
    <mergeCell ref="Q7:Q9"/>
    <mergeCell ref="R7:R9"/>
    <mergeCell ref="X7:X9"/>
    <mergeCell ref="K8:L8"/>
    <mergeCell ref="M8:M9"/>
    <mergeCell ref="B4:Y4"/>
    <mergeCell ref="G6:Q6"/>
    <mergeCell ref="R6:T6"/>
  </mergeCells>
  <pageMargins left="0.51181102362204722" right="0" top="0.9055118110236221" bottom="0.19685039370078741" header="0.43307086614173229" footer="0.11811023622047245"/>
  <pageSetup paperSize="9" scale="5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декабрь</vt:lpstr>
      <vt:lpstr>декабрь!Заголовки_для_печати</vt:lpstr>
      <vt:lpstr>декабрь!Область_печати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2017-12-07T00:07:24Z</cp:lastPrinted>
  <dcterms:created xsi:type="dcterms:W3CDTF">2015-12-28T10:11:00Z</dcterms:created>
  <dcterms:modified xsi:type="dcterms:W3CDTF">2018-02-22T06:52:51Z</dcterms:modified>
</cp:coreProperties>
</file>